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jderoin\Community\Rotary\District Membership Committee\Governor\Visioning\Tools for Website\"/>
    </mc:Choice>
  </mc:AlternateContent>
  <xr:revisionPtr revIDLastSave="0" documentId="13_ncr:1_{3AB6A715-2EF4-47C6-AD8A-9D3722CEF3FF}" xr6:coauthVersionLast="40" xr6:coauthVersionMax="40" xr10:uidLastSave="{00000000-0000-0000-0000-000000000000}"/>
  <bookViews>
    <workbookView xWindow="-120" yWindow="-120" windowWidth="29040" windowHeight="15840" tabRatio="914" xr2:uid="{00000000-000D-0000-FFFF-FFFF00000000}"/>
  </bookViews>
  <sheets>
    <sheet name="Strategic Summary" sheetId="1" r:id="rId1"/>
    <sheet name="DV-IDENTITY-0" sheetId="2" state="hidden" r:id="rId2"/>
    <sheet name="TAP 1.1" sheetId="14" r:id="rId3"/>
    <sheet name="TAP 1.2" sheetId="15" r:id="rId4"/>
    <sheet name="TAP 1.3" sheetId="16" r:id="rId5"/>
    <sheet name="TAP 2.1" sheetId="17" r:id="rId6"/>
    <sheet name="TAP 2.2" sheetId="18" r:id="rId7"/>
    <sheet name="TAP 2.3" sheetId="19" r:id="rId8"/>
    <sheet name="TAP 3.1" sheetId="20" r:id="rId9"/>
    <sheet name="TAP 3.2" sheetId="41" r:id="rId10"/>
    <sheet name="TAP 3.3" sheetId="42" r:id="rId11"/>
    <sheet name="TAP 4.1" sheetId="21" r:id="rId12"/>
    <sheet name="TAP 4.2" sheetId="22" r:id="rId13"/>
    <sheet name="TAP 4.3" sheetId="23" r:id="rId14"/>
    <sheet name="TAP 5.1" sheetId="24" r:id="rId15"/>
    <sheet name="TAP 5.2" sheetId="26" r:id="rId16"/>
    <sheet name="TAP 5.3" sheetId="27" r:id="rId17"/>
    <sheet name="TAP 6.1" sheetId="28" r:id="rId18"/>
    <sheet name="TAP 6.2" sheetId="29" r:id="rId19"/>
    <sheet name="TAP 6.3" sheetId="30" r:id="rId20"/>
    <sheet name="Tap Template" sheetId="13" r:id="rId21"/>
    <sheet name="Sheet30" sheetId="43" r:id="rId22"/>
  </sheets>
  <definedNames>
    <definedName name="_xlnm.Print_Area" localSheetId="0">'Strategic Summary'!$A$2:$N$38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J4" i="2" l="1"/>
  <c r="FI4" i="2"/>
  <c r="FH4" i="2"/>
  <c r="FG4" i="2"/>
  <c r="FF4" i="2"/>
  <c r="FE4" i="2"/>
  <c r="FD4" i="2"/>
  <c r="FC4" i="2"/>
  <c r="FB4" i="2"/>
  <c r="FA4" i="2"/>
  <c r="EZ4" i="2"/>
  <c r="EY4" i="2"/>
  <c r="EX4" i="2"/>
  <c r="EW4" i="2"/>
  <c r="EV4" i="2"/>
  <c r="EU4" i="2"/>
  <c r="ET4" i="2"/>
  <c r="ES4" i="2"/>
  <c r="ER4" i="2"/>
  <c r="EQ4" i="2"/>
  <c r="EP4" i="2"/>
  <c r="EO4" i="2"/>
  <c r="EN4" i="2"/>
  <c r="EM4" i="2"/>
  <c r="EL4" i="2"/>
  <c r="EK4" i="2"/>
  <c r="EJ4" i="2"/>
  <c r="EI4" i="2"/>
  <c r="EH4" i="2"/>
  <c r="EG4" i="2"/>
  <c r="EF4" i="2"/>
  <c r="EE4" i="2"/>
  <c r="ED4" i="2"/>
  <c r="EC4" i="2"/>
  <c r="EB4" i="2"/>
  <c r="EA4" i="2"/>
  <c r="DZ4" i="2"/>
  <c r="DY4" i="2"/>
  <c r="DX4" i="2"/>
  <c r="DW4" i="2"/>
  <c r="DU4" i="2"/>
  <c r="DT4" i="2"/>
  <c r="DS4" i="2"/>
  <c r="DR4" i="2"/>
  <c r="DQ4" i="2"/>
  <c r="DP4" i="2"/>
  <c r="DO4" i="2"/>
  <c r="DN4" i="2"/>
  <c r="DM4" i="2"/>
  <c r="DL4" i="2"/>
  <c r="DK4" i="2"/>
  <c r="DJ4" i="2"/>
  <c r="DI4" i="2"/>
  <c r="DH4" i="2"/>
  <c r="DG4" i="2"/>
  <c r="DF4" i="2"/>
  <c r="DE4" i="2"/>
  <c r="DD4" i="2"/>
  <c r="DC4" i="2"/>
  <c r="DB4" i="2"/>
  <c r="DA4" i="2"/>
  <c r="CZ4" i="2"/>
  <c r="CY4" i="2"/>
  <c r="CX4" i="2"/>
  <c r="CW4" i="2"/>
  <c r="CV4" i="2"/>
  <c r="CU4" i="2"/>
  <c r="CT4" i="2"/>
  <c r="CS4" i="2"/>
  <c r="CR4" i="2"/>
  <c r="CQ4" i="2"/>
  <c r="CP4" i="2"/>
  <c r="CO4" i="2"/>
  <c r="CN4" i="2"/>
  <c r="CM4" i="2"/>
  <c r="CL4" i="2"/>
  <c r="CK4" i="2"/>
  <c r="CJ4" i="2"/>
  <c r="CI4" i="2"/>
  <c r="CH4" i="2"/>
  <c r="CG4" i="2"/>
  <c r="CF4" i="2"/>
  <c r="CE4" i="2"/>
  <c r="CD4" i="2"/>
  <c r="CC4" i="2"/>
  <c r="CB4" i="2"/>
  <c r="CA4" i="2"/>
  <c r="BZ4" i="2"/>
  <c r="BY4" i="2"/>
  <c r="BX4" i="2"/>
  <c r="BW4" i="2"/>
  <c r="BV4" i="2"/>
  <c r="BU4" i="2"/>
  <c r="BT4" i="2"/>
  <c r="BS4" i="2"/>
  <c r="BR4" i="2"/>
  <c r="BQ4" i="2"/>
  <c r="BP4" i="2"/>
  <c r="BO4" i="2"/>
  <c r="BN4" i="2"/>
  <c r="BM4" i="2"/>
  <c r="BL4" i="2"/>
  <c r="BK4" i="2"/>
  <c r="BJ4" i="2"/>
  <c r="BI4" i="2"/>
  <c r="BH4" i="2"/>
  <c r="BG4" i="2"/>
  <c r="BF4" i="2"/>
  <c r="BE4" i="2"/>
  <c r="BD4" i="2"/>
  <c r="BC4" i="2"/>
  <c r="BB4" i="2"/>
  <c r="BA4" i="2"/>
  <c r="AZ4" i="2"/>
  <c r="AY4" i="2"/>
  <c r="AX4" i="2"/>
  <c r="AW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A4" i="2"/>
  <c r="IV3" i="2"/>
  <c r="IU3" i="2"/>
  <c r="IT3" i="2"/>
  <c r="IS3" i="2"/>
  <c r="IR3" i="2"/>
  <c r="IQ3" i="2"/>
  <c r="IP3" i="2"/>
  <c r="IO3" i="2"/>
  <c r="IN3" i="2"/>
  <c r="IM3" i="2"/>
  <c r="IL3" i="2"/>
  <c r="IK3" i="2"/>
  <c r="IJ3" i="2"/>
  <c r="II3" i="2"/>
  <c r="IH3" i="2"/>
  <c r="IG3" i="2"/>
  <c r="IF3" i="2"/>
  <c r="IE3" i="2"/>
  <c r="ID3" i="2"/>
  <c r="IC3" i="2"/>
  <c r="IB3" i="2"/>
  <c r="IA3" i="2"/>
  <c r="HZ3" i="2"/>
  <c r="HY3" i="2"/>
  <c r="HX3" i="2"/>
  <c r="HW3" i="2"/>
  <c r="HV3" i="2"/>
  <c r="HU3" i="2"/>
  <c r="HT3" i="2"/>
  <c r="HS3" i="2"/>
  <c r="HR3" i="2"/>
  <c r="HQ3" i="2"/>
  <c r="HP3" i="2"/>
  <c r="HO3" i="2"/>
  <c r="HN3" i="2"/>
  <c r="HM3" i="2"/>
  <c r="HL3" i="2"/>
  <c r="HK3" i="2"/>
  <c r="HJ3" i="2"/>
  <c r="HI3" i="2"/>
  <c r="HH3" i="2"/>
  <c r="HG3" i="2"/>
  <c r="HF3" i="2"/>
  <c r="HE3" i="2"/>
  <c r="HD3" i="2"/>
  <c r="HC3" i="2"/>
  <c r="HB3" i="2"/>
  <c r="HA3" i="2"/>
  <c r="GZ3" i="2"/>
  <c r="GY3" i="2"/>
  <c r="GX3" i="2"/>
  <c r="GW3" i="2"/>
  <c r="GV3" i="2"/>
  <c r="GU3" i="2"/>
  <c r="GT3" i="2"/>
  <c r="GS3" i="2"/>
  <c r="GR3" i="2"/>
  <c r="GQ3" i="2"/>
  <c r="GP3" i="2"/>
  <c r="GO3" i="2"/>
  <c r="GN3" i="2"/>
  <c r="GM3" i="2"/>
  <c r="GL3" i="2"/>
  <c r="GK3" i="2"/>
  <c r="GJ3" i="2"/>
  <c r="GI3" i="2"/>
  <c r="GH3" i="2"/>
  <c r="GG3" i="2"/>
  <c r="GF3" i="2"/>
  <c r="GE3" i="2"/>
  <c r="GD3" i="2"/>
  <c r="GC3" i="2"/>
  <c r="GB3" i="2"/>
  <c r="GA3" i="2"/>
  <c r="FZ3" i="2"/>
  <c r="FY3" i="2"/>
  <c r="FX3" i="2"/>
  <c r="FW3" i="2"/>
  <c r="FV3" i="2"/>
  <c r="FU3" i="2"/>
  <c r="FT3" i="2"/>
  <c r="FS3" i="2"/>
  <c r="FR3" i="2"/>
  <c r="FQ3" i="2"/>
  <c r="FP3" i="2"/>
  <c r="FO3" i="2"/>
  <c r="FN3" i="2"/>
  <c r="FM3" i="2"/>
  <c r="FL3" i="2"/>
  <c r="FK3" i="2"/>
  <c r="FJ3" i="2"/>
  <c r="FI3" i="2"/>
  <c r="FH3" i="2"/>
  <c r="FG3" i="2"/>
  <c r="FF3" i="2"/>
  <c r="FE3" i="2"/>
  <c r="FD3" i="2"/>
  <c r="FC3" i="2"/>
  <c r="FB3" i="2"/>
  <c r="FA3" i="2"/>
  <c r="EZ3" i="2"/>
  <c r="EY3" i="2"/>
  <c r="EX3" i="2"/>
  <c r="EW3" i="2"/>
  <c r="EV3" i="2"/>
  <c r="EU3" i="2"/>
  <c r="ET3" i="2"/>
  <c r="ES3" i="2"/>
  <c r="ER3" i="2"/>
  <c r="EQ3" i="2"/>
  <c r="EP3" i="2"/>
  <c r="EO3" i="2"/>
  <c r="EN3" i="2"/>
  <c r="EM3" i="2"/>
  <c r="EL3" i="2"/>
  <c r="EK3" i="2"/>
  <c r="EJ3" i="2"/>
  <c r="EI3" i="2"/>
  <c r="EH3" i="2"/>
  <c r="EG3" i="2"/>
  <c r="EF3" i="2"/>
  <c r="EE3" i="2"/>
  <c r="ED3" i="2"/>
  <c r="EC3" i="2"/>
  <c r="EB3" i="2"/>
  <c r="EA3" i="2"/>
  <c r="DZ3" i="2"/>
  <c r="DY3" i="2"/>
  <c r="DX3" i="2"/>
  <c r="DW3" i="2"/>
  <c r="DV3" i="2"/>
  <c r="DU3" i="2"/>
  <c r="DT3" i="2"/>
  <c r="DS3" i="2"/>
  <c r="DR3" i="2"/>
  <c r="DQ3" i="2"/>
  <c r="DP3" i="2"/>
  <c r="DO3" i="2"/>
  <c r="DN3" i="2"/>
  <c r="DM3" i="2"/>
  <c r="DL3" i="2"/>
  <c r="DK3" i="2"/>
  <c r="DJ3" i="2"/>
  <c r="DI3" i="2"/>
  <c r="DH3" i="2"/>
  <c r="DG3" i="2"/>
  <c r="DF3" i="2"/>
  <c r="DE3" i="2"/>
  <c r="DD3" i="2"/>
  <c r="DC3" i="2"/>
  <c r="DB3" i="2"/>
  <c r="DA3" i="2"/>
  <c r="CZ3" i="2"/>
  <c r="CY3" i="2"/>
  <c r="CX3" i="2"/>
  <c r="CW3" i="2"/>
  <c r="CV3" i="2"/>
  <c r="CU3" i="2"/>
  <c r="CT3" i="2"/>
  <c r="CS3" i="2"/>
  <c r="CR3" i="2"/>
  <c r="CQ3" i="2"/>
  <c r="CP3" i="2"/>
  <c r="CO3" i="2"/>
  <c r="CN3" i="2"/>
  <c r="CM3" i="2"/>
  <c r="CL3" i="2"/>
  <c r="CK3" i="2"/>
  <c r="CJ3" i="2"/>
  <c r="CI3" i="2"/>
  <c r="CH3" i="2"/>
  <c r="CG3" i="2"/>
  <c r="CF3" i="2"/>
  <c r="CE3" i="2"/>
  <c r="CD3" i="2"/>
  <c r="CC3" i="2"/>
  <c r="CB3" i="2"/>
  <c r="CA3" i="2"/>
  <c r="BZ3" i="2"/>
  <c r="BY3" i="2"/>
  <c r="BX3" i="2"/>
  <c r="BW3" i="2"/>
  <c r="BV3" i="2"/>
  <c r="BU3" i="2"/>
  <c r="BT3" i="2"/>
  <c r="BS3" i="2"/>
  <c r="BR3" i="2"/>
  <c r="BQ3" i="2"/>
  <c r="BP3" i="2"/>
  <c r="BO3" i="2"/>
  <c r="BN3" i="2"/>
  <c r="BM3" i="2"/>
  <c r="BL3" i="2"/>
  <c r="BK3" i="2"/>
  <c r="BJ3" i="2"/>
  <c r="BI3" i="2"/>
  <c r="BH3" i="2"/>
  <c r="BG3" i="2"/>
  <c r="BF3" i="2"/>
  <c r="BE3" i="2"/>
  <c r="BD3" i="2"/>
  <c r="BC3" i="2"/>
  <c r="BB3" i="2"/>
  <c r="BA3" i="2"/>
  <c r="AZ3" i="2"/>
  <c r="AY3" i="2"/>
  <c r="AX3" i="2"/>
  <c r="AW3" i="2"/>
  <c r="AV3" i="2"/>
  <c r="AU3" i="2"/>
  <c r="AT3" i="2"/>
  <c r="AS3" i="2"/>
  <c r="AR3" i="2"/>
  <c r="AQ3" i="2"/>
  <c r="AP3" i="2"/>
  <c r="AO3" i="2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  <c r="A3" i="2"/>
  <c r="IV2" i="2"/>
  <c r="IU2" i="2"/>
  <c r="IT2" i="2"/>
  <c r="IS2" i="2"/>
  <c r="IR2" i="2"/>
  <c r="IQ2" i="2"/>
  <c r="IP2" i="2"/>
  <c r="IO2" i="2"/>
  <c r="IN2" i="2"/>
  <c r="IM2" i="2"/>
  <c r="IL2" i="2"/>
  <c r="IK2" i="2"/>
  <c r="IJ2" i="2"/>
  <c r="II2" i="2"/>
  <c r="IH2" i="2"/>
  <c r="IG2" i="2"/>
  <c r="IF2" i="2"/>
  <c r="IE2" i="2"/>
  <c r="ID2" i="2"/>
  <c r="IC2" i="2"/>
  <c r="IB2" i="2"/>
  <c r="IA2" i="2"/>
  <c r="HZ2" i="2"/>
  <c r="HY2" i="2"/>
  <c r="HX2" i="2"/>
  <c r="HW2" i="2"/>
  <c r="HV2" i="2"/>
  <c r="HU2" i="2"/>
  <c r="HT2" i="2"/>
  <c r="HS2" i="2"/>
  <c r="HR2" i="2"/>
  <c r="HQ2" i="2"/>
  <c r="HP2" i="2"/>
  <c r="HO2" i="2"/>
  <c r="HN2" i="2"/>
  <c r="HM2" i="2"/>
  <c r="HL2" i="2"/>
  <c r="HK2" i="2"/>
  <c r="HJ2" i="2"/>
  <c r="HI2" i="2"/>
  <c r="HH2" i="2"/>
  <c r="HG2" i="2"/>
  <c r="HF2" i="2"/>
  <c r="HE2" i="2"/>
  <c r="HD2" i="2"/>
  <c r="HC2" i="2"/>
  <c r="HB2" i="2"/>
  <c r="HA2" i="2"/>
  <c r="GZ2" i="2"/>
  <c r="GY2" i="2"/>
  <c r="GX2" i="2"/>
  <c r="GW2" i="2"/>
  <c r="GV2" i="2"/>
  <c r="GU2" i="2"/>
  <c r="GT2" i="2"/>
  <c r="GS2" i="2"/>
  <c r="GR2" i="2"/>
  <c r="GQ2" i="2"/>
  <c r="GP2" i="2"/>
  <c r="GO2" i="2"/>
  <c r="GN2" i="2"/>
  <c r="GM2" i="2"/>
  <c r="GL2" i="2"/>
  <c r="GK2" i="2"/>
  <c r="GJ2" i="2"/>
  <c r="GI2" i="2"/>
  <c r="GH2" i="2"/>
  <c r="GG2" i="2"/>
  <c r="GF2" i="2"/>
  <c r="GE2" i="2"/>
  <c r="GD2" i="2"/>
  <c r="GC2" i="2"/>
  <c r="GB2" i="2"/>
  <c r="GA2" i="2"/>
  <c r="FZ2" i="2"/>
  <c r="FY2" i="2"/>
  <c r="FX2" i="2"/>
  <c r="FW2" i="2"/>
  <c r="FV2" i="2"/>
  <c r="FU2" i="2"/>
  <c r="FT2" i="2"/>
  <c r="FS2" i="2"/>
  <c r="FR2" i="2"/>
  <c r="FQ2" i="2"/>
  <c r="FP2" i="2"/>
  <c r="FO2" i="2"/>
  <c r="FN2" i="2"/>
  <c r="FM2" i="2"/>
  <c r="FL2" i="2"/>
  <c r="FK2" i="2"/>
  <c r="FJ2" i="2"/>
  <c r="FI2" i="2"/>
  <c r="FH2" i="2"/>
  <c r="FG2" i="2"/>
  <c r="FF2" i="2"/>
  <c r="FE2" i="2"/>
  <c r="FD2" i="2"/>
  <c r="FC2" i="2"/>
  <c r="FB2" i="2"/>
  <c r="FA2" i="2"/>
  <c r="EZ2" i="2"/>
  <c r="EY2" i="2"/>
  <c r="EX2" i="2"/>
  <c r="EW2" i="2"/>
  <c r="EV2" i="2"/>
  <c r="EU2" i="2"/>
  <c r="ET2" i="2"/>
  <c r="ES2" i="2"/>
  <c r="ER2" i="2"/>
  <c r="EQ2" i="2"/>
  <c r="EP2" i="2"/>
  <c r="EO2" i="2"/>
  <c r="EN2" i="2"/>
  <c r="EM2" i="2"/>
  <c r="EL2" i="2"/>
  <c r="EK2" i="2"/>
  <c r="EJ2" i="2"/>
  <c r="EI2" i="2"/>
  <c r="EH2" i="2"/>
  <c r="EG2" i="2"/>
  <c r="EF2" i="2"/>
  <c r="EE2" i="2"/>
  <c r="ED2" i="2"/>
  <c r="EC2" i="2"/>
  <c r="EB2" i="2"/>
  <c r="EA2" i="2"/>
  <c r="DZ2" i="2"/>
  <c r="DY2" i="2"/>
  <c r="DX2" i="2"/>
  <c r="DW2" i="2"/>
  <c r="DV2" i="2"/>
  <c r="DU2" i="2"/>
  <c r="DT2" i="2"/>
  <c r="DS2" i="2"/>
  <c r="DR2" i="2"/>
  <c r="DQ2" i="2"/>
  <c r="DP2" i="2"/>
  <c r="DO2" i="2"/>
  <c r="DN2" i="2"/>
  <c r="DM2" i="2"/>
  <c r="DL2" i="2"/>
  <c r="DK2" i="2"/>
  <c r="DJ2" i="2"/>
  <c r="DI2" i="2"/>
  <c r="DH2" i="2"/>
  <c r="DG2" i="2"/>
  <c r="DF2" i="2"/>
  <c r="DE2" i="2"/>
  <c r="DD2" i="2"/>
  <c r="DC2" i="2"/>
  <c r="DB2" i="2"/>
  <c r="DA2" i="2"/>
  <c r="CZ2" i="2"/>
  <c r="CY2" i="2"/>
  <c r="CX2" i="2"/>
  <c r="CW2" i="2"/>
  <c r="CV2" i="2"/>
  <c r="CU2" i="2"/>
  <c r="CT2" i="2"/>
  <c r="CS2" i="2"/>
  <c r="CR2" i="2"/>
  <c r="CQ2" i="2"/>
  <c r="CP2" i="2"/>
  <c r="CO2" i="2"/>
  <c r="CN2" i="2"/>
  <c r="CM2" i="2"/>
  <c r="CL2" i="2"/>
  <c r="CK2" i="2"/>
  <c r="CJ2" i="2"/>
  <c r="CI2" i="2"/>
  <c r="CH2" i="2"/>
  <c r="CG2" i="2"/>
  <c r="CF2" i="2"/>
  <c r="CE2" i="2"/>
  <c r="CD2" i="2"/>
  <c r="CC2" i="2"/>
  <c r="CB2" i="2"/>
  <c r="CA2" i="2"/>
  <c r="BZ2" i="2"/>
  <c r="BY2" i="2"/>
  <c r="BX2" i="2"/>
  <c r="BW2" i="2"/>
  <c r="BV2" i="2"/>
  <c r="BU2" i="2"/>
  <c r="BT2" i="2"/>
  <c r="BS2" i="2"/>
  <c r="BR2" i="2"/>
  <c r="BQ2" i="2"/>
  <c r="BP2" i="2"/>
  <c r="BO2" i="2"/>
  <c r="BN2" i="2"/>
  <c r="BM2" i="2"/>
  <c r="BL2" i="2"/>
  <c r="BK2" i="2"/>
  <c r="BJ2" i="2"/>
  <c r="BI2" i="2"/>
  <c r="BH2" i="2"/>
  <c r="BG2" i="2"/>
  <c r="BF2" i="2"/>
  <c r="BE2" i="2"/>
  <c r="BD2" i="2"/>
  <c r="BC2" i="2"/>
  <c r="BB2" i="2"/>
  <c r="BA2" i="2"/>
  <c r="AZ2" i="2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  <c r="IV1" i="2"/>
  <c r="IU1" i="2"/>
  <c r="IT1" i="2"/>
  <c r="IS1" i="2"/>
  <c r="IR1" i="2"/>
  <c r="IQ1" i="2"/>
  <c r="IP1" i="2"/>
  <c r="IO1" i="2"/>
  <c r="IN1" i="2"/>
  <c r="IM1" i="2"/>
  <c r="IL1" i="2"/>
  <c r="IK1" i="2"/>
  <c r="IJ1" i="2"/>
  <c r="II1" i="2"/>
  <c r="IH1" i="2"/>
  <c r="IG1" i="2"/>
  <c r="IF1" i="2"/>
  <c r="IE1" i="2"/>
  <c r="ID1" i="2"/>
  <c r="IC1" i="2"/>
  <c r="IB1" i="2"/>
  <c r="IA1" i="2"/>
  <c r="HZ1" i="2"/>
  <c r="HY1" i="2"/>
  <c r="HX1" i="2"/>
  <c r="HW1" i="2"/>
  <c r="HV1" i="2"/>
  <c r="HU1" i="2"/>
  <c r="HT1" i="2"/>
  <c r="HS1" i="2"/>
  <c r="HR1" i="2"/>
  <c r="HQ1" i="2"/>
  <c r="HP1" i="2"/>
  <c r="HO1" i="2"/>
  <c r="HN1" i="2"/>
  <c r="HM1" i="2"/>
  <c r="HL1" i="2"/>
  <c r="HK1" i="2"/>
  <c r="HJ1" i="2"/>
  <c r="HI1" i="2"/>
  <c r="HH1" i="2"/>
  <c r="HG1" i="2"/>
  <c r="HF1" i="2"/>
  <c r="HE1" i="2"/>
  <c r="HD1" i="2"/>
  <c r="HC1" i="2"/>
  <c r="HB1" i="2"/>
  <c r="HA1" i="2"/>
  <c r="GZ1" i="2"/>
  <c r="GY1" i="2"/>
  <c r="GX1" i="2"/>
  <c r="GW1" i="2"/>
  <c r="GV1" i="2"/>
  <c r="GU1" i="2"/>
  <c r="GT1" i="2"/>
  <c r="GS1" i="2"/>
  <c r="GR1" i="2"/>
  <c r="GQ1" i="2"/>
  <c r="GP1" i="2"/>
  <c r="GO1" i="2"/>
  <c r="GN1" i="2"/>
  <c r="GM1" i="2"/>
  <c r="GL1" i="2"/>
  <c r="GK1" i="2"/>
  <c r="GJ1" i="2"/>
  <c r="GI1" i="2"/>
  <c r="GH1" i="2"/>
  <c r="GG1" i="2"/>
  <c r="GF1" i="2"/>
  <c r="GE1" i="2"/>
  <c r="GD1" i="2"/>
  <c r="GC1" i="2"/>
  <c r="GB1" i="2"/>
  <c r="GA1" i="2"/>
  <c r="FZ1" i="2"/>
  <c r="FY1" i="2"/>
  <c r="FX1" i="2"/>
  <c r="FW1" i="2"/>
  <c r="FV1" i="2"/>
  <c r="FU1" i="2"/>
  <c r="FT1" i="2"/>
  <c r="FS1" i="2"/>
  <c r="FR1" i="2"/>
  <c r="FQ1" i="2"/>
  <c r="FP1" i="2"/>
  <c r="FO1" i="2"/>
  <c r="FN1" i="2"/>
  <c r="FM1" i="2"/>
  <c r="FL1" i="2"/>
  <c r="FK1" i="2"/>
  <c r="FJ1" i="2"/>
  <c r="FI1" i="2"/>
  <c r="FH1" i="2"/>
  <c r="FG1" i="2"/>
  <c r="FF1" i="2"/>
  <c r="FE1" i="2"/>
  <c r="FD1" i="2"/>
  <c r="FC1" i="2"/>
  <c r="FB1" i="2"/>
  <c r="FA1" i="2"/>
  <c r="EZ1" i="2"/>
  <c r="EY1" i="2"/>
  <c r="EX1" i="2"/>
  <c r="EW1" i="2"/>
  <c r="EV1" i="2"/>
  <c r="EU1" i="2"/>
  <c r="ET1" i="2"/>
  <c r="ES1" i="2"/>
  <c r="ER1" i="2"/>
  <c r="EQ1" i="2"/>
  <c r="EP1" i="2"/>
  <c r="EO1" i="2"/>
  <c r="EN1" i="2"/>
  <c r="EM1" i="2"/>
  <c r="EL1" i="2"/>
  <c r="EK1" i="2"/>
  <c r="EJ1" i="2"/>
  <c r="EI1" i="2"/>
  <c r="EH1" i="2"/>
  <c r="EG1" i="2"/>
  <c r="EF1" i="2"/>
  <c r="EE1" i="2"/>
  <c r="ED1" i="2"/>
  <c r="EC1" i="2"/>
  <c r="EB1" i="2"/>
  <c r="EA1" i="2"/>
  <c r="DZ1" i="2"/>
  <c r="DY1" i="2"/>
  <c r="DX1" i="2"/>
  <c r="DW1" i="2"/>
  <c r="DV1" i="2"/>
  <c r="DU1" i="2"/>
  <c r="DT1" i="2"/>
  <c r="DS1" i="2"/>
  <c r="DR1" i="2"/>
  <c r="DQ1" i="2"/>
  <c r="DP1" i="2"/>
  <c r="DO1" i="2"/>
  <c r="DN1" i="2"/>
  <c r="DM1" i="2"/>
  <c r="DL1" i="2"/>
  <c r="DK1" i="2"/>
  <c r="DJ1" i="2"/>
  <c r="DI1" i="2"/>
  <c r="DH1" i="2"/>
  <c r="DG1" i="2"/>
  <c r="DF1" i="2"/>
  <c r="DE1" i="2"/>
  <c r="DD1" i="2"/>
  <c r="DC1" i="2"/>
  <c r="DB1" i="2"/>
  <c r="DA1" i="2"/>
  <c r="CZ1" i="2"/>
  <c r="CY1" i="2"/>
  <c r="CX1" i="2"/>
  <c r="CW1" i="2"/>
  <c r="CV1" i="2"/>
  <c r="CU1" i="2"/>
  <c r="CT1" i="2"/>
  <c r="CS1" i="2"/>
  <c r="CR1" i="2"/>
  <c r="CQ1" i="2"/>
  <c r="CP1" i="2"/>
  <c r="CO1" i="2"/>
  <c r="CN1" i="2"/>
  <c r="CM1" i="2"/>
  <c r="CL1" i="2"/>
  <c r="CK1" i="2"/>
  <c r="CJ1" i="2"/>
  <c r="CI1" i="2"/>
  <c r="CH1" i="2"/>
  <c r="CG1" i="2"/>
  <c r="CF1" i="2"/>
  <c r="CE1" i="2"/>
  <c r="CD1" i="2"/>
  <c r="CC1" i="2"/>
  <c r="CB1" i="2"/>
  <c r="CA1" i="2"/>
  <c r="BZ1" i="2"/>
  <c r="BY1" i="2"/>
  <c r="BX1" i="2"/>
  <c r="BW1" i="2"/>
  <c r="BV1" i="2"/>
  <c r="BU1" i="2"/>
  <c r="BT1" i="2"/>
  <c r="BS1" i="2"/>
  <c r="BR1" i="2"/>
  <c r="BQ1" i="2"/>
  <c r="BP1" i="2"/>
  <c r="BO1" i="2"/>
  <c r="BN1" i="2"/>
  <c r="BM1" i="2"/>
  <c r="BL1" i="2"/>
  <c r="BK1" i="2"/>
  <c r="BJ1" i="2"/>
  <c r="BI1" i="2"/>
  <c r="BH1" i="2"/>
  <c r="BG1" i="2"/>
  <c r="BF1" i="2"/>
  <c r="BE1" i="2"/>
  <c r="BD1" i="2"/>
  <c r="BC1" i="2"/>
  <c r="BB1" i="2"/>
  <c r="BA1" i="2"/>
  <c r="AZ1" i="2"/>
  <c r="AY1" i="2"/>
  <c r="AX1" i="2"/>
  <c r="AW1" i="2"/>
  <c r="AV1" i="2"/>
  <c r="AU1" i="2"/>
  <c r="AT1" i="2"/>
  <c r="AS1" i="2"/>
  <c r="AR1" i="2"/>
  <c r="AQ1" i="2"/>
  <c r="AP1" i="2"/>
  <c r="AO1" i="2"/>
  <c r="AN1" i="2"/>
  <c r="AM1" i="2"/>
  <c r="AL1" i="2"/>
  <c r="AK1" i="2"/>
  <c r="AJ1" i="2"/>
  <c r="AI1" i="2"/>
  <c r="AH1" i="2"/>
  <c r="AG1" i="2"/>
  <c r="AF1" i="2"/>
  <c r="AE1" i="2"/>
  <c r="AD1" i="2"/>
  <c r="AC1" i="2"/>
  <c r="AB1" i="2"/>
  <c r="AA1" i="2"/>
  <c r="Z1" i="2"/>
  <c r="Y1" i="2"/>
  <c r="X1" i="2"/>
  <c r="W1" i="2"/>
  <c r="V1" i="2"/>
  <c r="U1" i="2"/>
  <c r="T1" i="2"/>
  <c r="S1" i="2"/>
  <c r="R1" i="2"/>
  <c r="Q1" i="2"/>
  <c r="P1" i="2"/>
  <c r="O1" i="2"/>
  <c r="N1" i="2"/>
  <c r="M1" i="2"/>
  <c r="L1" i="2"/>
  <c r="K1" i="2"/>
  <c r="J1" i="2"/>
  <c r="I1" i="2"/>
  <c r="H1" i="2"/>
  <c r="G1" i="2"/>
  <c r="F1" i="2"/>
  <c r="E1" i="2"/>
  <c r="D1" i="2"/>
  <c r="C1" i="2"/>
  <c r="B1" i="2"/>
  <c r="A1" i="2"/>
</calcChain>
</file>

<file path=xl/sharedStrings.xml><?xml version="1.0" encoding="utf-8"?>
<sst xmlns="http://schemas.openxmlformats.org/spreadsheetml/2006/main" count="557" uniqueCount="110">
  <si>
    <t>Owner</t>
  </si>
  <si>
    <t>Performance Driver</t>
  </si>
  <si>
    <t>#</t>
  </si>
  <si>
    <t xml:space="preserve">Strategy </t>
  </si>
  <si>
    <t>Fiscal Year Goal</t>
  </si>
  <si>
    <t>Timeline</t>
  </si>
  <si>
    <t>Comments</t>
  </si>
  <si>
    <t>1.1</t>
  </si>
  <si>
    <t>Tactical Action Plan</t>
  </si>
  <si>
    <t>Indicator of Success</t>
  </si>
  <si>
    <t>tactic one</t>
  </si>
  <si>
    <t>measure</t>
  </si>
  <si>
    <t>tactic two</t>
  </si>
  <si>
    <t>tactic three</t>
  </si>
  <si>
    <t xml:space="preserve"> </t>
  </si>
  <si>
    <t>2.1</t>
  </si>
  <si>
    <t>TAP#</t>
  </si>
  <si>
    <t>Strategy</t>
  </si>
  <si>
    <t>1.0</t>
  </si>
  <si>
    <t>1.2</t>
  </si>
  <si>
    <t>1.3</t>
  </si>
  <si>
    <t>2.0</t>
  </si>
  <si>
    <t>2.2</t>
  </si>
  <si>
    <t>2.3</t>
  </si>
  <si>
    <t>3.0</t>
  </si>
  <si>
    <t>3.1</t>
  </si>
  <si>
    <t>3.2</t>
  </si>
  <si>
    <t>3.3</t>
  </si>
  <si>
    <t>4.0</t>
  </si>
  <si>
    <t>5.0</t>
  </si>
  <si>
    <t>5.1</t>
  </si>
  <si>
    <t>6.0</t>
  </si>
  <si>
    <t>Organizational Readiness</t>
  </si>
  <si>
    <t>6.1</t>
  </si>
  <si>
    <t>6.2</t>
  </si>
  <si>
    <t>6.3</t>
  </si>
  <si>
    <t>3.1.1</t>
  </si>
  <si>
    <t>3.1.2</t>
  </si>
  <si>
    <t>3.1.3</t>
  </si>
  <si>
    <t>AAAAAG3v/X0=</t>
  </si>
  <si>
    <t>4.1</t>
  </si>
  <si>
    <t>6.1.1</t>
  </si>
  <si>
    <t>6.1.2</t>
  </si>
  <si>
    <t>6.1.3</t>
  </si>
  <si>
    <t>6.2.1</t>
  </si>
  <si>
    <t>6.2.2</t>
  </si>
  <si>
    <t>6.2.3</t>
  </si>
  <si>
    <t>6.3.1</t>
  </si>
  <si>
    <t>6.3.2</t>
  </si>
  <si>
    <t>6.3.3</t>
  </si>
  <si>
    <t>Attributes</t>
  </si>
  <si>
    <t>Slogan</t>
  </si>
  <si>
    <t>Elevator Speech</t>
  </si>
  <si>
    <t>Goal</t>
  </si>
  <si>
    <t>Target Deadline</t>
  </si>
  <si>
    <t>Membership</t>
  </si>
  <si>
    <t>Service &amp; Fundraising</t>
  </si>
  <si>
    <t>Foundation &amp; Polio Plus</t>
  </si>
  <si>
    <t>Public Image</t>
  </si>
  <si>
    <t>4.2</t>
  </si>
  <si>
    <t>4.3</t>
  </si>
  <si>
    <t>Visioning &amp; Tactical Action Plan for the Rotary Club of:</t>
  </si>
  <si>
    <t>5.2</t>
  </si>
  <si>
    <t>5.3</t>
  </si>
  <si>
    <t>Fellowship</t>
  </si>
  <si>
    <t>1.1.1</t>
  </si>
  <si>
    <t>1.1.2</t>
  </si>
  <si>
    <t>1.1.3</t>
  </si>
  <si>
    <t>1.2.1</t>
  </si>
  <si>
    <t>1.2.2</t>
  </si>
  <si>
    <t>1.2.3</t>
  </si>
  <si>
    <t>1.3.1</t>
  </si>
  <si>
    <t>1.3.2</t>
  </si>
  <si>
    <t>1.3.3</t>
  </si>
  <si>
    <t>2.1.1</t>
  </si>
  <si>
    <t>2.1.2</t>
  </si>
  <si>
    <t>2.1.3</t>
  </si>
  <si>
    <t>2.2.1</t>
  </si>
  <si>
    <t>2.2.2</t>
  </si>
  <si>
    <t>2.2.3</t>
  </si>
  <si>
    <t>2.3.1</t>
  </si>
  <si>
    <t>2.3.2</t>
  </si>
  <si>
    <t>2.3.3</t>
  </si>
  <si>
    <t>3.2.1</t>
  </si>
  <si>
    <t>3.2.2</t>
  </si>
  <si>
    <t>3.2.3</t>
  </si>
  <si>
    <t>3.3.1</t>
  </si>
  <si>
    <t>3.3.2</t>
  </si>
  <si>
    <t>3.3.3</t>
  </si>
  <si>
    <t>4.1.1</t>
  </si>
  <si>
    <t>4.1.2</t>
  </si>
  <si>
    <t>4.1.3</t>
  </si>
  <si>
    <t>4.2.1</t>
  </si>
  <si>
    <t>4.2.2</t>
  </si>
  <si>
    <t>4.2.3</t>
  </si>
  <si>
    <t>4.3.1</t>
  </si>
  <si>
    <t>4.3.2</t>
  </si>
  <si>
    <t>4.3.3</t>
  </si>
  <si>
    <t>5.1.1</t>
  </si>
  <si>
    <t>5.1.2</t>
  </si>
  <si>
    <t>5.1.3</t>
  </si>
  <si>
    <t>5.2.1</t>
  </si>
  <si>
    <t>5.2.2</t>
  </si>
  <si>
    <t>5.2.3</t>
  </si>
  <si>
    <t>5.3.1</t>
  </si>
  <si>
    <t>5.3.2</t>
  </si>
  <si>
    <t>5.3.3</t>
  </si>
  <si>
    <t>Who We Are</t>
  </si>
  <si>
    <t>What We Stand For</t>
  </si>
  <si>
    <t>Check-in
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</si>
</sst>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m/d/yy"/>
  </numFmts>
  <fonts count="23" x14ac:knownFonts="1">
    <font>
      <sz val="10"/>
      <color rgb="FF000000"/>
      <name val="Arial"/>
    </font>
    <font>
      <b/>
      <sz val="12"/>
      <name val="Arial"/>
    </font>
    <font>
      <sz val="10"/>
      <name val="Arial"/>
    </font>
    <font>
      <sz val="12"/>
      <name val="Arial"/>
    </font>
    <font>
      <b/>
      <sz val="12"/>
      <color rgb="FFFFFFFF"/>
      <name val="Arial"/>
    </font>
    <font>
      <b/>
      <sz val="8"/>
      <name val="Arial"/>
    </font>
    <font>
      <b/>
      <sz val="12"/>
      <color rgb="FFFF0000"/>
      <name val="Arial"/>
    </font>
    <font>
      <sz val="8"/>
      <name val="Arial"/>
    </font>
    <font>
      <sz val="10"/>
      <name val="Arial"/>
    </font>
    <font>
      <sz val="12"/>
      <color rgb="FFFF0000"/>
      <name val="Arial"/>
    </font>
    <font>
      <sz val="12"/>
      <color rgb="FFFFFFFF"/>
      <name val="Arial"/>
    </font>
    <font>
      <sz val="12"/>
      <color rgb="FF000000"/>
      <name val="Arial"/>
    </font>
    <font>
      <sz val="12"/>
      <color rgb="FF0000FF"/>
      <name val="Arial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008000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2"/>
      <color rgb="FFFFFFFF"/>
      <name val="Arial"/>
      <family val="2"/>
    </font>
    <font>
      <b/>
      <sz val="14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000080"/>
      </patternFill>
    </fill>
    <fill>
      <patternFill patternType="solid">
        <fgColor rgb="FF808080"/>
        <bgColor rgb="FF808080"/>
      </patternFill>
    </fill>
    <fill>
      <patternFill patternType="solid">
        <fgColor rgb="FF008000"/>
        <bgColor rgb="FF00800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rgb="FFFF0000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3" fillId="0" borderId="0" xfId="0" applyFont="1" applyAlignment="1">
      <alignment vertical="center" wrapText="1"/>
    </xf>
    <xf numFmtId="0" fontId="3" fillId="2" borderId="7" xfId="0" applyFont="1" applyFill="1" applyBorder="1"/>
    <xf numFmtId="0" fontId="3" fillId="2" borderId="8" xfId="0" applyFont="1" applyFill="1" applyBorder="1"/>
    <xf numFmtId="0" fontId="3" fillId="0" borderId="0" xfId="0" applyFont="1"/>
    <xf numFmtId="0" fontId="4" fillId="3" borderId="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top" wrapText="1"/>
    </xf>
    <xf numFmtId="0" fontId="1" fillId="0" borderId="0" xfId="0" applyFont="1"/>
    <xf numFmtId="0" fontId="8" fillId="5" borderId="15" xfId="0" applyFont="1" applyFill="1" applyBorder="1"/>
    <xf numFmtId="0" fontId="3" fillId="0" borderId="0" xfId="0" applyFont="1" applyAlignment="1">
      <alignment vertical="center"/>
    </xf>
    <xf numFmtId="0" fontId="3" fillId="2" borderId="16" xfId="0" applyFont="1" applyFill="1" applyBorder="1" applyAlignment="1">
      <alignment horizontal="left"/>
    </xf>
    <xf numFmtId="0" fontId="10" fillId="0" borderId="0" xfId="0" applyFont="1"/>
    <xf numFmtId="0" fontId="3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15" xfId="0" applyFont="1" applyBorder="1" applyAlignment="1">
      <alignment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vertical="center" wrapText="1"/>
    </xf>
    <xf numFmtId="49" fontId="3" fillId="2" borderId="25" xfId="0" applyNumberFormat="1" applyFont="1" applyFill="1" applyBorder="1" applyAlignment="1">
      <alignment horizontal="center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9" fontId="13" fillId="7" borderId="15" xfId="0" applyNumberFormat="1" applyFont="1" applyFill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49" fontId="13" fillId="2" borderId="11" xfId="0" applyNumberFormat="1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vertical="center" wrapText="1"/>
    </xf>
    <xf numFmtId="49" fontId="13" fillId="2" borderId="15" xfId="0" applyNumberFormat="1" applyFont="1" applyFill="1" applyBorder="1" applyAlignment="1">
      <alignment horizontal="center" vertical="center" wrapText="1"/>
    </xf>
    <xf numFmtId="0" fontId="14" fillId="7" borderId="25" xfId="0" applyFont="1" applyFill="1" applyBorder="1" applyAlignment="1">
      <alignment horizontal="left" vertical="center" wrapText="1"/>
    </xf>
    <xf numFmtId="0" fontId="14" fillId="7" borderId="13" xfId="0" applyFont="1" applyFill="1" applyBorder="1" applyAlignment="1">
      <alignment horizontal="left" vertical="center" wrapText="1"/>
    </xf>
    <xf numFmtId="0" fontId="14" fillId="7" borderId="14" xfId="0" applyFont="1" applyFill="1" applyBorder="1" applyAlignment="1">
      <alignment horizontal="left" vertical="center" wrapText="1"/>
    </xf>
    <xf numFmtId="0" fontId="16" fillId="7" borderId="25" xfId="0" applyFont="1" applyFill="1" applyBorder="1" applyAlignment="1">
      <alignment horizontal="center" vertical="center" wrapText="1"/>
    </xf>
    <xf numFmtId="0" fontId="16" fillId="7" borderId="14" xfId="0" applyFont="1" applyFill="1" applyBorder="1" applyAlignment="1">
      <alignment horizontal="center" vertical="center" wrapText="1"/>
    </xf>
    <xf numFmtId="0" fontId="15" fillId="7" borderId="25" xfId="0" applyFont="1" applyFill="1" applyBorder="1" applyAlignment="1">
      <alignment horizontal="center" vertical="center" wrapText="1"/>
    </xf>
    <xf numFmtId="0" fontId="15" fillId="7" borderId="14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16" fontId="18" fillId="7" borderId="25" xfId="0" applyNumberFormat="1" applyFont="1" applyFill="1" applyBorder="1" applyAlignment="1">
      <alignment horizontal="center" vertical="center" wrapText="1"/>
    </xf>
    <xf numFmtId="0" fontId="18" fillId="7" borderId="13" xfId="0" applyFont="1" applyFill="1" applyBorder="1" applyAlignment="1">
      <alignment horizontal="center" vertical="center" wrapText="1"/>
    </xf>
    <xf numFmtId="0" fontId="18" fillId="7" borderId="14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0" fontId="0" fillId="8" borderId="0" xfId="0" applyFill="1"/>
    <xf numFmtId="0" fontId="3" fillId="8" borderId="0" xfId="0" applyFont="1" applyFill="1" applyAlignment="1">
      <alignment vertical="center" wrapText="1"/>
    </xf>
    <xf numFmtId="49" fontId="3" fillId="9" borderId="8" xfId="0" applyNumberFormat="1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left" vertical="center" wrapText="1"/>
    </xf>
    <xf numFmtId="0" fontId="9" fillId="9" borderId="8" xfId="0" applyFont="1" applyFill="1" applyBorder="1" applyAlignment="1">
      <alignment horizontal="center" vertical="center" wrapText="1"/>
    </xf>
    <xf numFmtId="164" fontId="11" fillId="9" borderId="8" xfId="0" applyNumberFormat="1" applyFont="1" applyFill="1" applyBorder="1" applyAlignment="1">
      <alignment horizontal="center" vertical="center" wrapText="1"/>
    </xf>
    <xf numFmtId="0" fontId="11" fillId="9" borderId="8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left" vertical="center" wrapText="1"/>
    </xf>
    <xf numFmtId="0" fontId="3" fillId="8" borderId="0" xfId="0" applyFont="1" applyFill="1" applyAlignment="1">
      <alignment horizontal="center" vertical="center" wrapText="1"/>
    </xf>
    <xf numFmtId="49" fontId="13" fillId="2" borderId="33" xfId="0" applyNumberFormat="1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vertical="center" wrapText="1"/>
    </xf>
    <xf numFmtId="49" fontId="3" fillId="2" borderId="34" xfId="0" applyNumberFormat="1" applyFont="1" applyFill="1" applyBorder="1" applyAlignment="1">
      <alignment horizontal="center" vertical="center" wrapText="1"/>
    </xf>
    <xf numFmtId="0" fontId="15" fillId="0" borderId="34" xfId="0" applyFont="1" applyBorder="1" applyAlignment="1">
      <alignment vertical="center" wrapText="1"/>
    </xf>
    <xf numFmtId="49" fontId="3" fillId="6" borderId="32" xfId="0" applyNumberFormat="1" applyFont="1" applyFill="1" applyBorder="1" applyAlignment="1">
      <alignment horizontal="center" vertical="center" wrapText="1"/>
    </xf>
    <xf numFmtId="0" fontId="3" fillId="0" borderId="32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20" fillId="0" borderId="34" xfId="0" applyFont="1" applyBorder="1" applyAlignment="1">
      <alignment horizontal="center" vertical="center" wrapText="1"/>
    </xf>
    <xf numFmtId="0" fontId="4" fillId="10" borderId="15" xfId="0" applyFont="1" applyFill="1" applyBorder="1" applyAlignment="1">
      <alignment horizontal="center" vertical="center"/>
    </xf>
    <xf numFmtId="0" fontId="21" fillId="4" borderId="15" xfId="0" applyFont="1" applyFill="1" applyBorder="1" applyAlignment="1">
      <alignment horizontal="center" vertical="center" wrapText="1"/>
    </xf>
    <xf numFmtId="0" fontId="0" fillId="8" borderId="35" xfId="0" applyFill="1" applyBorder="1" applyAlignment="1">
      <alignment horizontal="center"/>
    </xf>
    <xf numFmtId="0" fontId="14" fillId="2" borderId="12" xfId="0" applyFont="1" applyFill="1" applyBorder="1" applyAlignment="1">
      <alignment horizontal="left" vertical="center" wrapText="1"/>
    </xf>
    <xf numFmtId="0" fontId="15" fillId="0" borderId="13" xfId="0" applyFont="1" applyBorder="1"/>
    <xf numFmtId="0" fontId="15" fillId="0" borderId="14" xfId="0" applyFont="1" applyBorder="1"/>
    <xf numFmtId="0" fontId="16" fillId="2" borderId="12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left" vertical="center" wrapText="1"/>
    </xf>
    <xf numFmtId="0" fontId="15" fillId="0" borderId="23" xfId="0" applyFont="1" applyBorder="1"/>
    <xf numFmtId="0" fontId="15" fillId="0" borderId="24" xfId="0" applyFont="1" applyBorder="1"/>
    <xf numFmtId="0" fontId="16" fillId="2" borderId="22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8" fillId="2" borderId="22" xfId="0" applyFont="1" applyFill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left" vertical="center" wrapText="1"/>
    </xf>
    <xf numFmtId="0" fontId="2" fillId="0" borderId="14" xfId="0" applyFont="1" applyBorder="1"/>
    <xf numFmtId="0" fontId="15" fillId="0" borderId="29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3" fillId="6" borderId="32" xfId="0" applyFont="1" applyFill="1" applyBorder="1" applyAlignment="1">
      <alignment horizontal="left" vertical="center" wrapText="1"/>
    </xf>
    <xf numFmtId="0" fontId="2" fillId="0" borderId="32" xfId="0" applyFont="1" applyBorder="1"/>
    <xf numFmtId="164" fontId="18" fillId="2" borderId="29" xfId="0" applyNumberFormat="1" applyFont="1" applyFill="1" applyBorder="1" applyAlignment="1">
      <alignment horizontal="center" vertical="center" wrapText="1"/>
    </xf>
    <xf numFmtId="0" fontId="15" fillId="0" borderId="30" xfId="0" applyFont="1" applyBorder="1"/>
    <xf numFmtId="0" fontId="15" fillId="0" borderId="31" xfId="0" applyFont="1" applyBorder="1"/>
    <xf numFmtId="6" fontId="15" fillId="2" borderId="12" xfId="0" applyNumberFormat="1" applyFont="1" applyFill="1" applyBorder="1" applyAlignment="1">
      <alignment horizontal="center" vertical="center" wrapText="1"/>
    </xf>
    <xf numFmtId="164" fontId="18" fillId="2" borderId="12" xfId="0" applyNumberFormat="1" applyFont="1" applyFill="1" applyBorder="1" applyAlignment="1">
      <alignment horizontal="center" vertical="center" wrapText="1"/>
    </xf>
    <xf numFmtId="0" fontId="22" fillId="8" borderId="0" xfId="0" applyFont="1" applyFill="1" applyAlignment="1">
      <alignment horizontal="right"/>
    </xf>
    <xf numFmtId="0" fontId="0" fillId="8" borderId="6" xfId="0" applyFill="1" applyBorder="1" applyAlignment="1">
      <alignment horizontal="right"/>
    </xf>
    <xf numFmtId="0" fontId="21" fillId="3" borderId="12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14" fillId="0" borderId="12" xfId="0" applyFont="1" applyBorder="1" applyAlignment="1">
      <alignment vertical="center" wrapText="1"/>
    </xf>
    <xf numFmtId="9" fontId="15" fillId="2" borderId="12" xfId="0" applyNumberFormat="1" applyFont="1" applyFill="1" applyBorder="1" applyAlignment="1">
      <alignment horizontal="center" vertical="center" wrapText="1"/>
    </xf>
    <xf numFmtId="0" fontId="16" fillId="0" borderId="14" xfId="0" applyFont="1" applyBorder="1"/>
    <xf numFmtId="0" fontId="3" fillId="6" borderId="12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left" vertical="center" wrapText="1"/>
    </xf>
    <xf numFmtId="0" fontId="2" fillId="0" borderId="23" xfId="0" applyFont="1" applyBorder="1"/>
    <xf numFmtId="0" fontId="2" fillId="0" borderId="24" xfId="0" applyFont="1" applyBorder="1"/>
    <xf numFmtId="0" fontId="19" fillId="6" borderId="26" xfId="0" applyFont="1" applyFill="1" applyBorder="1" applyAlignment="1">
      <alignment horizontal="left" vertical="center" wrapText="1"/>
    </xf>
    <xf numFmtId="0" fontId="2" fillId="0" borderId="27" xfId="0" applyFont="1" applyBorder="1"/>
    <xf numFmtId="0" fontId="2" fillId="0" borderId="28" xfId="0" applyFont="1" applyBorder="1"/>
    <xf numFmtId="0" fontId="9" fillId="6" borderId="12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left" vertical="center" wrapText="1"/>
    </xf>
    <xf numFmtId="0" fontId="19" fillId="6" borderId="12" xfId="0" applyFont="1" applyFill="1" applyBorder="1" applyAlignment="1">
      <alignment horizontal="left" vertical="center" wrapText="1"/>
    </xf>
    <xf numFmtId="0" fontId="19" fillId="6" borderId="32" xfId="0" applyFont="1" applyFill="1" applyBorder="1" applyAlignment="1">
      <alignment horizontal="left" vertical="center" wrapText="1"/>
    </xf>
    <xf numFmtId="0" fontId="14" fillId="7" borderId="25" xfId="0" applyFont="1" applyFill="1" applyBorder="1" applyAlignment="1">
      <alignment horizontal="left" vertical="center" wrapText="1"/>
    </xf>
    <xf numFmtId="0" fontId="14" fillId="7" borderId="13" xfId="0" applyFont="1" applyFill="1" applyBorder="1" applyAlignment="1">
      <alignment horizontal="left" vertical="center" wrapText="1"/>
    </xf>
    <xf numFmtId="0" fontId="14" fillId="7" borderId="14" xfId="0" applyFont="1" applyFill="1" applyBorder="1" applyAlignment="1">
      <alignment horizontal="left" vertical="center" wrapText="1"/>
    </xf>
    <xf numFmtId="0" fontId="16" fillId="7" borderId="25" xfId="0" applyFont="1" applyFill="1" applyBorder="1" applyAlignment="1">
      <alignment horizontal="center" vertical="center" wrapText="1"/>
    </xf>
    <xf numFmtId="0" fontId="16" fillId="7" borderId="14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9" fillId="6" borderId="3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16" fillId="2" borderId="29" xfId="0" applyFont="1" applyFill="1" applyBorder="1" applyAlignment="1">
      <alignment horizontal="center" vertical="center" wrapText="1"/>
    </xf>
    <xf numFmtId="0" fontId="18" fillId="2" borderId="29" xfId="0" applyFont="1" applyFill="1" applyBorder="1" applyAlignment="1">
      <alignment horizontal="center" vertical="center" wrapText="1"/>
    </xf>
    <xf numFmtId="0" fontId="11" fillId="6" borderId="32" xfId="0" applyFont="1" applyFill="1" applyBorder="1" applyAlignment="1">
      <alignment horizontal="center" vertical="center" wrapText="1"/>
    </xf>
    <xf numFmtId="0" fontId="15" fillId="7" borderId="25" xfId="0" applyFont="1" applyFill="1" applyBorder="1" applyAlignment="1">
      <alignment horizontal="center" vertical="center" wrapText="1"/>
    </xf>
    <xf numFmtId="0" fontId="15" fillId="7" borderId="14" xfId="0" applyFont="1" applyFill="1" applyBorder="1" applyAlignment="1">
      <alignment horizontal="center" vertical="center" wrapText="1"/>
    </xf>
    <xf numFmtId="6" fontId="18" fillId="2" borderId="12" xfId="0" applyNumberFormat="1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16" fontId="18" fillId="7" borderId="25" xfId="0" applyNumberFormat="1" applyFont="1" applyFill="1" applyBorder="1" applyAlignment="1">
      <alignment horizontal="center" vertical="center" wrapText="1"/>
    </xf>
    <xf numFmtId="0" fontId="18" fillId="7" borderId="13" xfId="0" applyFont="1" applyFill="1" applyBorder="1" applyAlignment="1">
      <alignment horizontal="center" vertical="center" wrapText="1"/>
    </xf>
    <xf numFmtId="0" fontId="18" fillId="7" borderId="14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14" fontId="11" fillId="0" borderId="12" xfId="0" applyNumberFormat="1" applyFont="1" applyBorder="1" applyAlignment="1">
      <alignment horizontal="left" vertical="center" wrapText="1"/>
    </xf>
    <xf numFmtId="0" fontId="4" fillId="4" borderId="12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left"/>
    </xf>
    <xf numFmtId="0" fontId="2" fillId="0" borderId="18" xfId="0" applyFont="1" applyBorder="1"/>
    <xf numFmtId="0" fontId="9" fillId="2" borderId="17" xfId="0" applyFont="1" applyFill="1" applyBorder="1"/>
    <xf numFmtId="0" fontId="3" fillId="2" borderId="19" xfId="0" applyFont="1" applyFill="1" applyBorder="1"/>
    <xf numFmtId="0" fontId="2" fillId="0" borderId="20" xfId="0" applyFont="1" applyBorder="1"/>
    <xf numFmtId="0" fontId="3" fillId="2" borderId="17" xfId="0" applyFont="1" applyFill="1" applyBorder="1"/>
    <xf numFmtId="0" fontId="4" fillId="10" borderId="12" xfId="0" applyFont="1" applyFill="1" applyBorder="1" applyAlignment="1">
      <alignment horizontal="center" vertical="center" wrapText="1"/>
    </xf>
    <xf numFmtId="0" fontId="2" fillId="11" borderId="13" xfId="0" applyFont="1" applyFill="1" applyBorder="1"/>
    <xf numFmtId="0" fontId="2" fillId="11" borderId="14" xfId="0" applyFont="1" applyFill="1" applyBorder="1"/>
    <xf numFmtId="0" fontId="4" fillId="10" borderId="1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4" fillId="3" borderId="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3" xfId="0" applyFont="1" applyBorder="1"/>
    <xf numFmtId="0" fontId="4" fillId="4" borderId="4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wrapText="1"/>
    </xf>
    <xf numFmtId="0" fontId="21" fillId="3" borderId="36" xfId="0" applyFont="1" applyFill="1" applyBorder="1" applyAlignment="1">
      <alignment horizontal="center" vertical="center" wrapText="1"/>
    </xf>
    <xf numFmtId="0" fontId="21" fillId="3" borderId="21" xfId="0" applyFont="1" applyFill="1" applyBorder="1" applyAlignment="1">
      <alignment horizontal="center" vertical="center" wrapText="1"/>
    </xf>
    <xf numFmtId="49" fontId="3" fillId="2" borderId="37" xfId="0" applyNumberFormat="1" applyFont="1" applyFill="1" applyBorder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114300</xdr:colOff>
      <xdr:row>13</xdr:row>
      <xdr:rowOff>590550</xdr:rowOff>
    </xdr:from>
    <xdr:to>
      <xdr:col>14</xdr:col>
      <xdr:colOff>723900</xdr:colOff>
      <xdr:row>13</xdr:row>
      <xdr:rowOff>752475</xdr:rowOff>
    </xdr:to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8210550" y="5353050"/>
          <a:ext cx="609600" cy="161925"/>
          <a:chOff x="5041200" y="3699038"/>
          <a:chExt cx="609600" cy="161925"/>
        </a:xfrm>
      </xdr:grpSpPr>
      <xdr:grpSp>
        <xdr:nvGrpSpPr>
          <xdr:cNvPr id="10" name="Shape 10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GrpSpPr/>
        </xdr:nvGrpSpPr>
        <xdr:grpSpPr>
          <a:xfrm>
            <a:off x="5041200" y="3699038"/>
            <a:ext cx="609600" cy="161925"/>
            <a:chOff x="509" y="399"/>
            <a:chExt cx="75" cy="17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509" y="399"/>
              <a:ext cx="75" cy="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1" name="Shape 11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/>
          </xdr:nvSpPr>
          <xdr:spPr>
            <a:xfrm>
              <a:off x="509" y="399"/>
              <a:ext cx="19" cy="17"/>
            </a:xfrm>
            <a:prstGeom prst="rect">
              <a:avLst/>
            </a:prstGeom>
            <a:solidFill>
              <a:srgbClr val="FF0000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2" name="Shape 12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/>
          </xdr:nvSpPr>
          <xdr:spPr>
            <a:xfrm>
              <a:off x="537" y="399"/>
              <a:ext cx="19" cy="17"/>
            </a:xfrm>
            <a:prstGeom prst="rect">
              <a:avLst/>
            </a:prstGeom>
            <a:solidFill>
              <a:srgbClr val="FFFF00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3" name="Shape 13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/>
          </xdr:nvSpPr>
          <xdr:spPr>
            <a:xfrm>
              <a:off x="565" y="399"/>
              <a:ext cx="19" cy="17"/>
            </a:xfrm>
            <a:prstGeom prst="rect">
              <a:avLst/>
            </a:prstGeom>
            <a:solidFill>
              <a:srgbClr val="339966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</xdr:grpSp>
    </xdr:grpSp>
    <xdr:clientData fLock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1</xdr:row>
      <xdr:rowOff>438150</xdr:rowOff>
    </xdr:from>
    <xdr:to>
      <xdr:col>13</xdr:col>
      <xdr:colOff>628650</xdr:colOff>
      <xdr:row>1</xdr:row>
      <xdr:rowOff>590550</xdr:rowOff>
    </xdr:to>
    <xdr:grpSp>
      <xdr:nvGrpSpPr>
        <xdr:cNvPr id="2" name="Shape 2">
          <a:extLst>
            <a:ext uri="{FF2B5EF4-FFF2-40B4-BE49-F238E27FC236}">
              <a16:creationId xmlns:a16="http://schemas.microsoft.com/office/drawing/2014/main" id="{0893F249-9D93-4B5D-8AFB-5CA719E08418}"/>
            </a:ext>
          </a:extLst>
        </xdr:cNvPr>
        <xdr:cNvGrpSpPr/>
      </xdr:nvGrpSpPr>
      <xdr:grpSpPr>
        <a:xfrm>
          <a:off x="8639175" y="638175"/>
          <a:ext cx="523875" cy="152400"/>
          <a:chOff x="5084063" y="3703800"/>
          <a:chExt cx="523875" cy="15240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CAF4588A-5A79-4522-A44E-9A0618D8DCA6}"/>
              </a:ext>
            </a:extLst>
          </xdr:cNvPr>
          <xdr:cNvGrpSpPr/>
        </xdr:nvGrpSpPr>
        <xdr:grpSpPr>
          <a:xfrm>
            <a:off x="5084063" y="3703800"/>
            <a:ext cx="523875" cy="152400"/>
            <a:chOff x="5084063" y="3703800"/>
            <a:chExt cx="523875" cy="1524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790B4015-A971-442C-8A7E-80735B75E0C8}"/>
                </a:ext>
              </a:extLst>
            </xdr:cNvPr>
            <xdr:cNvSpPr/>
          </xdr:nvSpPr>
          <xdr:spPr>
            <a:xfrm>
              <a:off x="5084063" y="3703800"/>
              <a:ext cx="523875" cy="1524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D2AF3864-1740-45E2-B64B-ECCFEDEE893E}"/>
                </a:ext>
              </a:extLst>
            </xdr:cNvPr>
            <xdr:cNvGrpSpPr/>
          </xdr:nvGrpSpPr>
          <xdr:grpSpPr>
            <a:xfrm>
              <a:off x="5084063" y="3703800"/>
              <a:ext cx="523875" cy="152400"/>
              <a:chOff x="509" y="399"/>
              <a:chExt cx="75" cy="17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D6B88779-79BA-4667-A514-0F7F8857250C}"/>
                  </a:ext>
                </a:extLst>
              </xdr:cNvPr>
              <xdr:cNvSpPr/>
            </xdr:nvSpPr>
            <xdr:spPr>
              <a:xfrm>
                <a:off x="509" y="399"/>
                <a:ext cx="75" cy="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7" name="Shape 7">
                <a:extLst>
                  <a:ext uri="{FF2B5EF4-FFF2-40B4-BE49-F238E27FC236}">
                    <a16:creationId xmlns:a16="http://schemas.microsoft.com/office/drawing/2014/main" id="{4D58E420-F36F-4F37-A5FB-280133DFDEAF}"/>
                  </a:ext>
                </a:extLst>
              </xdr:cNvPr>
              <xdr:cNvSpPr/>
            </xdr:nvSpPr>
            <xdr:spPr>
              <a:xfrm>
                <a:off x="509" y="399"/>
                <a:ext cx="19" cy="17"/>
              </a:xfrm>
              <a:prstGeom prst="rect">
                <a:avLst/>
              </a:prstGeom>
              <a:solidFill>
                <a:srgbClr val="FF00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8" name="Shape 8">
                <a:extLst>
                  <a:ext uri="{FF2B5EF4-FFF2-40B4-BE49-F238E27FC236}">
                    <a16:creationId xmlns:a16="http://schemas.microsoft.com/office/drawing/2014/main" id="{629C8250-7053-47ED-8DDB-4F6BB60F1AEE}"/>
                  </a:ext>
                </a:extLst>
              </xdr:cNvPr>
              <xdr:cNvSpPr/>
            </xdr:nvSpPr>
            <xdr:spPr>
              <a:xfrm>
                <a:off x="537" y="399"/>
                <a:ext cx="19" cy="17"/>
              </a:xfrm>
              <a:prstGeom prst="rect">
                <a:avLst/>
              </a:prstGeom>
              <a:solidFill>
                <a:srgbClr val="FFFF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9" name="Shape 9">
                <a:extLst>
                  <a:ext uri="{FF2B5EF4-FFF2-40B4-BE49-F238E27FC236}">
                    <a16:creationId xmlns:a16="http://schemas.microsoft.com/office/drawing/2014/main" id="{CD0F1317-950D-4C5B-AE84-AB71D4906292}"/>
                  </a:ext>
                </a:extLst>
              </xdr:cNvPr>
              <xdr:cNvSpPr/>
            </xdr:nvSpPr>
            <xdr:spPr>
              <a:xfrm>
                <a:off x="565" y="399"/>
                <a:ext cx="19" cy="17"/>
              </a:xfrm>
              <a:prstGeom prst="rect">
                <a:avLst/>
              </a:prstGeom>
              <a:solidFill>
                <a:srgbClr val="00FF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</xdr:grpSp>
      </xdr:grpSp>
    </xdr:grpSp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1</xdr:row>
      <xdr:rowOff>438150</xdr:rowOff>
    </xdr:from>
    <xdr:to>
      <xdr:col>13</xdr:col>
      <xdr:colOff>628650</xdr:colOff>
      <xdr:row>1</xdr:row>
      <xdr:rowOff>590550</xdr:rowOff>
    </xdr:to>
    <xdr:grpSp>
      <xdr:nvGrpSpPr>
        <xdr:cNvPr id="2" name="Shape 2">
          <a:extLst>
            <a:ext uri="{FF2B5EF4-FFF2-40B4-BE49-F238E27FC236}">
              <a16:creationId xmlns:a16="http://schemas.microsoft.com/office/drawing/2014/main" id="{C4C63A29-A875-4107-BFB0-6DFA97DE8D4E}"/>
            </a:ext>
          </a:extLst>
        </xdr:cNvPr>
        <xdr:cNvGrpSpPr/>
      </xdr:nvGrpSpPr>
      <xdr:grpSpPr>
        <a:xfrm>
          <a:off x="8639175" y="638175"/>
          <a:ext cx="523875" cy="152400"/>
          <a:chOff x="5084063" y="3703800"/>
          <a:chExt cx="523875" cy="15240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631C9C45-1942-4B5F-9CEF-CDE72831CB2F}"/>
              </a:ext>
            </a:extLst>
          </xdr:cNvPr>
          <xdr:cNvGrpSpPr/>
        </xdr:nvGrpSpPr>
        <xdr:grpSpPr>
          <a:xfrm>
            <a:off x="5084063" y="3703800"/>
            <a:ext cx="523875" cy="152400"/>
            <a:chOff x="5084063" y="3703800"/>
            <a:chExt cx="523875" cy="1524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877CCBE0-8C9E-425B-92F6-074268106672}"/>
                </a:ext>
              </a:extLst>
            </xdr:cNvPr>
            <xdr:cNvSpPr/>
          </xdr:nvSpPr>
          <xdr:spPr>
            <a:xfrm>
              <a:off x="5084063" y="3703800"/>
              <a:ext cx="523875" cy="1524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5B30D8D5-2FC2-4CD2-87DE-7B2BC552C246}"/>
                </a:ext>
              </a:extLst>
            </xdr:cNvPr>
            <xdr:cNvGrpSpPr/>
          </xdr:nvGrpSpPr>
          <xdr:grpSpPr>
            <a:xfrm>
              <a:off x="5084063" y="3703800"/>
              <a:ext cx="523875" cy="152400"/>
              <a:chOff x="509" y="399"/>
              <a:chExt cx="75" cy="17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AD45558D-6B55-42D7-8A96-A615A94A498E}"/>
                  </a:ext>
                </a:extLst>
              </xdr:cNvPr>
              <xdr:cNvSpPr/>
            </xdr:nvSpPr>
            <xdr:spPr>
              <a:xfrm>
                <a:off x="509" y="399"/>
                <a:ext cx="75" cy="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7" name="Shape 7">
                <a:extLst>
                  <a:ext uri="{FF2B5EF4-FFF2-40B4-BE49-F238E27FC236}">
                    <a16:creationId xmlns:a16="http://schemas.microsoft.com/office/drawing/2014/main" id="{FE658481-682B-49FC-AA40-C2BEB2E62B0E}"/>
                  </a:ext>
                </a:extLst>
              </xdr:cNvPr>
              <xdr:cNvSpPr/>
            </xdr:nvSpPr>
            <xdr:spPr>
              <a:xfrm>
                <a:off x="509" y="399"/>
                <a:ext cx="19" cy="17"/>
              </a:xfrm>
              <a:prstGeom prst="rect">
                <a:avLst/>
              </a:prstGeom>
              <a:solidFill>
                <a:srgbClr val="FF00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8" name="Shape 8">
                <a:extLst>
                  <a:ext uri="{FF2B5EF4-FFF2-40B4-BE49-F238E27FC236}">
                    <a16:creationId xmlns:a16="http://schemas.microsoft.com/office/drawing/2014/main" id="{A8A73E0F-28AD-4EC1-83EA-C8FDC4782BAF}"/>
                  </a:ext>
                </a:extLst>
              </xdr:cNvPr>
              <xdr:cNvSpPr/>
            </xdr:nvSpPr>
            <xdr:spPr>
              <a:xfrm>
                <a:off x="537" y="399"/>
                <a:ext cx="19" cy="17"/>
              </a:xfrm>
              <a:prstGeom prst="rect">
                <a:avLst/>
              </a:prstGeom>
              <a:solidFill>
                <a:srgbClr val="FFFF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9" name="Shape 9">
                <a:extLst>
                  <a:ext uri="{FF2B5EF4-FFF2-40B4-BE49-F238E27FC236}">
                    <a16:creationId xmlns:a16="http://schemas.microsoft.com/office/drawing/2014/main" id="{626673B2-DEC6-4B23-9D03-1F09C9721D1E}"/>
                  </a:ext>
                </a:extLst>
              </xdr:cNvPr>
              <xdr:cNvSpPr/>
            </xdr:nvSpPr>
            <xdr:spPr>
              <a:xfrm>
                <a:off x="565" y="399"/>
                <a:ext cx="19" cy="17"/>
              </a:xfrm>
              <a:prstGeom prst="rect">
                <a:avLst/>
              </a:prstGeom>
              <a:solidFill>
                <a:srgbClr val="00FF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</xdr:grpSp>
      </xdr:grpSp>
    </xdr:grpSp>
    <xdr:clientData fLock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1</xdr:row>
      <xdr:rowOff>438150</xdr:rowOff>
    </xdr:from>
    <xdr:to>
      <xdr:col>13</xdr:col>
      <xdr:colOff>628650</xdr:colOff>
      <xdr:row>1</xdr:row>
      <xdr:rowOff>590550</xdr:rowOff>
    </xdr:to>
    <xdr:grpSp>
      <xdr:nvGrpSpPr>
        <xdr:cNvPr id="2" name="Shape 2">
          <a:extLst>
            <a:ext uri="{FF2B5EF4-FFF2-40B4-BE49-F238E27FC236}">
              <a16:creationId xmlns:a16="http://schemas.microsoft.com/office/drawing/2014/main" id="{487A8A4E-F898-4EF7-AB93-E5B5806441A5}"/>
            </a:ext>
          </a:extLst>
        </xdr:cNvPr>
        <xdr:cNvGrpSpPr/>
      </xdr:nvGrpSpPr>
      <xdr:grpSpPr>
        <a:xfrm>
          <a:off x="8639175" y="638175"/>
          <a:ext cx="523875" cy="152400"/>
          <a:chOff x="5084063" y="3703800"/>
          <a:chExt cx="523875" cy="15240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26EFBB07-5F32-44B3-B105-E4307D12CC47}"/>
              </a:ext>
            </a:extLst>
          </xdr:cNvPr>
          <xdr:cNvGrpSpPr/>
        </xdr:nvGrpSpPr>
        <xdr:grpSpPr>
          <a:xfrm>
            <a:off x="5084063" y="3703800"/>
            <a:ext cx="523875" cy="152400"/>
            <a:chOff x="5084063" y="3703800"/>
            <a:chExt cx="523875" cy="1524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82496CBF-3249-4CA6-B237-CEB653672F14}"/>
                </a:ext>
              </a:extLst>
            </xdr:cNvPr>
            <xdr:cNvSpPr/>
          </xdr:nvSpPr>
          <xdr:spPr>
            <a:xfrm>
              <a:off x="5084063" y="3703800"/>
              <a:ext cx="523875" cy="1524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5CF411E4-37EC-4254-9A2E-A69A9DF1C0C8}"/>
                </a:ext>
              </a:extLst>
            </xdr:cNvPr>
            <xdr:cNvGrpSpPr/>
          </xdr:nvGrpSpPr>
          <xdr:grpSpPr>
            <a:xfrm>
              <a:off x="5084063" y="3703800"/>
              <a:ext cx="523875" cy="152400"/>
              <a:chOff x="509" y="399"/>
              <a:chExt cx="75" cy="17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9E043020-4C3F-4B5C-903A-AD8B4A0D9AC2}"/>
                  </a:ext>
                </a:extLst>
              </xdr:cNvPr>
              <xdr:cNvSpPr/>
            </xdr:nvSpPr>
            <xdr:spPr>
              <a:xfrm>
                <a:off x="509" y="399"/>
                <a:ext cx="75" cy="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7" name="Shape 7">
                <a:extLst>
                  <a:ext uri="{FF2B5EF4-FFF2-40B4-BE49-F238E27FC236}">
                    <a16:creationId xmlns:a16="http://schemas.microsoft.com/office/drawing/2014/main" id="{48982B8D-B5D7-4294-A788-6632E9CFDF3A}"/>
                  </a:ext>
                </a:extLst>
              </xdr:cNvPr>
              <xdr:cNvSpPr/>
            </xdr:nvSpPr>
            <xdr:spPr>
              <a:xfrm>
                <a:off x="509" y="399"/>
                <a:ext cx="19" cy="17"/>
              </a:xfrm>
              <a:prstGeom prst="rect">
                <a:avLst/>
              </a:prstGeom>
              <a:solidFill>
                <a:srgbClr val="FF00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8" name="Shape 8">
                <a:extLst>
                  <a:ext uri="{FF2B5EF4-FFF2-40B4-BE49-F238E27FC236}">
                    <a16:creationId xmlns:a16="http://schemas.microsoft.com/office/drawing/2014/main" id="{8D494E38-4D3C-4794-B1C5-72F9D2B0A44F}"/>
                  </a:ext>
                </a:extLst>
              </xdr:cNvPr>
              <xdr:cNvSpPr/>
            </xdr:nvSpPr>
            <xdr:spPr>
              <a:xfrm>
                <a:off x="537" y="399"/>
                <a:ext cx="19" cy="17"/>
              </a:xfrm>
              <a:prstGeom prst="rect">
                <a:avLst/>
              </a:prstGeom>
              <a:solidFill>
                <a:srgbClr val="FFFF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9" name="Shape 9">
                <a:extLst>
                  <a:ext uri="{FF2B5EF4-FFF2-40B4-BE49-F238E27FC236}">
                    <a16:creationId xmlns:a16="http://schemas.microsoft.com/office/drawing/2014/main" id="{BDD89415-DA1F-4554-A2B6-26909E96CD44}"/>
                  </a:ext>
                </a:extLst>
              </xdr:cNvPr>
              <xdr:cNvSpPr/>
            </xdr:nvSpPr>
            <xdr:spPr>
              <a:xfrm>
                <a:off x="565" y="399"/>
                <a:ext cx="19" cy="17"/>
              </a:xfrm>
              <a:prstGeom prst="rect">
                <a:avLst/>
              </a:prstGeom>
              <a:solidFill>
                <a:srgbClr val="00FF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</xdr:grpSp>
      </xdr:grpSp>
    </xdr:grpSp>
    <xdr:clientData fLock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1</xdr:row>
      <xdr:rowOff>438150</xdr:rowOff>
    </xdr:from>
    <xdr:to>
      <xdr:col>13</xdr:col>
      <xdr:colOff>628650</xdr:colOff>
      <xdr:row>1</xdr:row>
      <xdr:rowOff>590550</xdr:rowOff>
    </xdr:to>
    <xdr:grpSp>
      <xdr:nvGrpSpPr>
        <xdr:cNvPr id="2" name="Shape 2">
          <a:extLst>
            <a:ext uri="{FF2B5EF4-FFF2-40B4-BE49-F238E27FC236}">
              <a16:creationId xmlns:a16="http://schemas.microsoft.com/office/drawing/2014/main" id="{A5D6F53B-7B2C-47FD-8532-F8CF6876FB0A}"/>
            </a:ext>
          </a:extLst>
        </xdr:cNvPr>
        <xdr:cNvGrpSpPr/>
      </xdr:nvGrpSpPr>
      <xdr:grpSpPr>
        <a:xfrm>
          <a:off x="8639175" y="638175"/>
          <a:ext cx="523875" cy="152400"/>
          <a:chOff x="5084063" y="3703800"/>
          <a:chExt cx="523875" cy="15240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65E89A24-C6CD-4BB9-BDF7-1E73F08A6F1A}"/>
              </a:ext>
            </a:extLst>
          </xdr:cNvPr>
          <xdr:cNvGrpSpPr/>
        </xdr:nvGrpSpPr>
        <xdr:grpSpPr>
          <a:xfrm>
            <a:off x="5084063" y="3703800"/>
            <a:ext cx="523875" cy="152400"/>
            <a:chOff x="5084063" y="3703800"/>
            <a:chExt cx="523875" cy="1524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22B2E9A-48F3-4041-ADC8-75D1B49C5762}"/>
                </a:ext>
              </a:extLst>
            </xdr:cNvPr>
            <xdr:cNvSpPr/>
          </xdr:nvSpPr>
          <xdr:spPr>
            <a:xfrm>
              <a:off x="5084063" y="3703800"/>
              <a:ext cx="523875" cy="1524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01B0EE27-E03B-41A4-A0B0-BC948FD718C8}"/>
                </a:ext>
              </a:extLst>
            </xdr:cNvPr>
            <xdr:cNvGrpSpPr/>
          </xdr:nvGrpSpPr>
          <xdr:grpSpPr>
            <a:xfrm>
              <a:off x="5084063" y="3703800"/>
              <a:ext cx="523875" cy="152400"/>
              <a:chOff x="509" y="399"/>
              <a:chExt cx="75" cy="17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76226F03-AF34-444D-9891-A30DC698ED61}"/>
                  </a:ext>
                </a:extLst>
              </xdr:cNvPr>
              <xdr:cNvSpPr/>
            </xdr:nvSpPr>
            <xdr:spPr>
              <a:xfrm>
                <a:off x="509" y="399"/>
                <a:ext cx="75" cy="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7" name="Shape 7">
                <a:extLst>
                  <a:ext uri="{FF2B5EF4-FFF2-40B4-BE49-F238E27FC236}">
                    <a16:creationId xmlns:a16="http://schemas.microsoft.com/office/drawing/2014/main" id="{C70A1E40-143E-4502-A066-617EC033F5C5}"/>
                  </a:ext>
                </a:extLst>
              </xdr:cNvPr>
              <xdr:cNvSpPr/>
            </xdr:nvSpPr>
            <xdr:spPr>
              <a:xfrm>
                <a:off x="509" y="399"/>
                <a:ext cx="19" cy="17"/>
              </a:xfrm>
              <a:prstGeom prst="rect">
                <a:avLst/>
              </a:prstGeom>
              <a:solidFill>
                <a:srgbClr val="FF00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8" name="Shape 8">
                <a:extLst>
                  <a:ext uri="{FF2B5EF4-FFF2-40B4-BE49-F238E27FC236}">
                    <a16:creationId xmlns:a16="http://schemas.microsoft.com/office/drawing/2014/main" id="{9A6DAC2E-53BB-45A1-97EB-8FA78148C154}"/>
                  </a:ext>
                </a:extLst>
              </xdr:cNvPr>
              <xdr:cNvSpPr/>
            </xdr:nvSpPr>
            <xdr:spPr>
              <a:xfrm>
                <a:off x="537" y="399"/>
                <a:ext cx="19" cy="17"/>
              </a:xfrm>
              <a:prstGeom prst="rect">
                <a:avLst/>
              </a:prstGeom>
              <a:solidFill>
                <a:srgbClr val="FFFF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9" name="Shape 9">
                <a:extLst>
                  <a:ext uri="{FF2B5EF4-FFF2-40B4-BE49-F238E27FC236}">
                    <a16:creationId xmlns:a16="http://schemas.microsoft.com/office/drawing/2014/main" id="{6F445538-2E6E-45D7-8042-B55DD14E73DA}"/>
                  </a:ext>
                </a:extLst>
              </xdr:cNvPr>
              <xdr:cNvSpPr/>
            </xdr:nvSpPr>
            <xdr:spPr>
              <a:xfrm>
                <a:off x="565" y="399"/>
                <a:ext cx="19" cy="17"/>
              </a:xfrm>
              <a:prstGeom prst="rect">
                <a:avLst/>
              </a:prstGeom>
              <a:solidFill>
                <a:srgbClr val="00FF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</xdr:grpSp>
      </xdr:grpSp>
    </xdr:grpSp>
    <xdr:clientData fLock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1</xdr:row>
      <xdr:rowOff>438150</xdr:rowOff>
    </xdr:from>
    <xdr:to>
      <xdr:col>13</xdr:col>
      <xdr:colOff>628650</xdr:colOff>
      <xdr:row>1</xdr:row>
      <xdr:rowOff>590550</xdr:rowOff>
    </xdr:to>
    <xdr:grpSp>
      <xdr:nvGrpSpPr>
        <xdr:cNvPr id="2" name="Shape 2">
          <a:extLst>
            <a:ext uri="{FF2B5EF4-FFF2-40B4-BE49-F238E27FC236}">
              <a16:creationId xmlns:a16="http://schemas.microsoft.com/office/drawing/2014/main" id="{67E84961-7A42-4205-908A-8A2C634EAA6B}"/>
            </a:ext>
          </a:extLst>
        </xdr:cNvPr>
        <xdr:cNvGrpSpPr/>
      </xdr:nvGrpSpPr>
      <xdr:grpSpPr>
        <a:xfrm>
          <a:off x="8639175" y="638175"/>
          <a:ext cx="523875" cy="152400"/>
          <a:chOff x="5084063" y="3703800"/>
          <a:chExt cx="523875" cy="15240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D448E8C3-C266-4AE0-A05A-DA2C16302301}"/>
              </a:ext>
            </a:extLst>
          </xdr:cNvPr>
          <xdr:cNvGrpSpPr/>
        </xdr:nvGrpSpPr>
        <xdr:grpSpPr>
          <a:xfrm>
            <a:off x="5084063" y="3703800"/>
            <a:ext cx="523875" cy="152400"/>
            <a:chOff x="5084063" y="3703800"/>
            <a:chExt cx="523875" cy="1524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766D79B3-8765-4FA7-AA2A-EF3763DD35DA}"/>
                </a:ext>
              </a:extLst>
            </xdr:cNvPr>
            <xdr:cNvSpPr/>
          </xdr:nvSpPr>
          <xdr:spPr>
            <a:xfrm>
              <a:off x="5084063" y="3703800"/>
              <a:ext cx="523875" cy="1524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78715722-592E-4CAE-982A-57DFF70FC43D}"/>
                </a:ext>
              </a:extLst>
            </xdr:cNvPr>
            <xdr:cNvGrpSpPr/>
          </xdr:nvGrpSpPr>
          <xdr:grpSpPr>
            <a:xfrm>
              <a:off x="5084063" y="3703800"/>
              <a:ext cx="523875" cy="152400"/>
              <a:chOff x="509" y="399"/>
              <a:chExt cx="75" cy="17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B3547A90-FC6D-4A39-A71F-4968E78C4007}"/>
                  </a:ext>
                </a:extLst>
              </xdr:cNvPr>
              <xdr:cNvSpPr/>
            </xdr:nvSpPr>
            <xdr:spPr>
              <a:xfrm>
                <a:off x="509" y="399"/>
                <a:ext cx="75" cy="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7" name="Shape 7">
                <a:extLst>
                  <a:ext uri="{FF2B5EF4-FFF2-40B4-BE49-F238E27FC236}">
                    <a16:creationId xmlns:a16="http://schemas.microsoft.com/office/drawing/2014/main" id="{14C2D76A-C3BB-4D35-AEDE-1F26DE0DE0BE}"/>
                  </a:ext>
                </a:extLst>
              </xdr:cNvPr>
              <xdr:cNvSpPr/>
            </xdr:nvSpPr>
            <xdr:spPr>
              <a:xfrm>
                <a:off x="509" y="399"/>
                <a:ext cx="19" cy="17"/>
              </a:xfrm>
              <a:prstGeom prst="rect">
                <a:avLst/>
              </a:prstGeom>
              <a:solidFill>
                <a:srgbClr val="FF00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8" name="Shape 8">
                <a:extLst>
                  <a:ext uri="{FF2B5EF4-FFF2-40B4-BE49-F238E27FC236}">
                    <a16:creationId xmlns:a16="http://schemas.microsoft.com/office/drawing/2014/main" id="{D82561EC-341F-49F2-A345-B2A524B54F48}"/>
                  </a:ext>
                </a:extLst>
              </xdr:cNvPr>
              <xdr:cNvSpPr/>
            </xdr:nvSpPr>
            <xdr:spPr>
              <a:xfrm>
                <a:off x="537" y="399"/>
                <a:ext cx="19" cy="17"/>
              </a:xfrm>
              <a:prstGeom prst="rect">
                <a:avLst/>
              </a:prstGeom>
              <a:solidFill>
                <a:srgbClr val="FFFF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9" name="Shape 9">
                <a:extLst>
                  <a:ext uri="{FF2B5EF4-FFF2-40B4-BE49-F238E27FC236}">
                    <a16:creationId xmlns:a16="http://schemas.microsoft.com/office/drawing/2014/main" id="{6ABE1B6E-BAB4-4BF7-9BAC-C5AAF95EAFD2}"/>
                  </a:ext>
                </a:extLst>
              </xdr:cNvPr>
              <xdr:cNvSpPr/>
            </xdr:nvSpPr>
            <xdr:spPr>
              <a:xfrm>
                <a:off x="565" y="399"/>
                <a:ext cx="19" cy="17"/>
              </a:xfrm>
              <a:prstGeom prst="rect">
                <a:avLst/>
              </a:prstGeom>
              <a:solidFill>
                <a:srgbClr val="00FF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</xdr:grpSp>
      </xdr:grpSp>
    </xdr:grpSp>
    <xdr:clientData fLock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1</xdr:row>
      <xdr:rowOff>438150</xdr:rowOff>
    </xdr:from>
    <xdr:to>
      <xdr:col>13</xdr:col>
      <xdr:colOff>628650</xdr:colOff>
      <xdr:row>1</xdr:row>
      <xdr:rowOff>590550</xdr:rowOff>
    </xdr:to>
    <xdr:grpSp>
      <xdr:nvGrpSpPr>
        <xdr:cNvPr id="2" name="Shape 2">
          <a:extLst>
            <a:ext uri="{FF2B5EF4-FFF2-40B4-BE49-F238E27FC236}">
              <a16:creationId xmlns:a16="http://schemas.microsoft.com/office/drawing/2014/main" id="{AC32096F-C0B2-4EE2-BBE3-4FA0465AA2FF}"/>
            </a:ext>
          </a:extLst>
        </xdr:cNvPr>
        <xdr:cNvGrpSpPr/>
      </xdr:nvGrpSpPr>
      <xdr:grpSpPr>
        <a:xfrm>
          <a:off x="8639175" y="638175"/>
          <a:ext cx="523875" cy="152400"/>
          <a:chOff x="5084063" y="3703800"/>
          <a:chExt cx="523875" cy="15240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BB7FB618-F589-42EB-A5C2-DBEFCA6E3A4D}"/>
              </a:ext>
            </a:extLst>
          </xdr:cNvPr>
          <xdr:cNvGrpSpPr/>
        </xdr:nvGrpSpPr>
        <xdr:grpSpPr>
          <a:xfrm>
            <a:off x="5084063" y="3703800"/>
            <a:ext cx="523875" cy="152400"/>
            <a:chOff x="5084063" y="3703800"/>
            <a:chExt cx="523875" cy="1524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A307D803-098A-4B24-B163-A526ECC23188}"/>
                </a:ext>
              </a:extLst>
            </xdr:cNvPr>
            <xdr:cNvSpPr/>
          </xdr:nvSpPr>
          <xdr:spPr>
            <a:xfrm>
              <a:off x="5084063" y="3703800"/>
              <a:ext cx="523875" cy="1524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1D818E6F-3F40-49DF-A0BB-6177FB49BD6D}"/>
                </a:ext>
              </a:extLst>
            </xdr:cNvPr>
            <xdr:cNvGrpSpPr/>
          </xdr:nvGrpSpPr>
          <xdr:grpSpPr>
            <a:xfrm>
              <a:off x="5084063" y="3703800"/>
              <a:ext cx="523875" cy="152400"/>
              <a:chOff x="509" y="399"/>
              <a:chExt cx="75" cy="17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6EB429BB-7953-49DF-8325-8E4C82CFF449}"/>
                  </a:ext>
                </a:extLst>
              </xdr:cNvPr>
              <xdr:cNvSpPr/>
            </xdr:nvSpPr>
            <xdr:spPr>
              <a:xfrm>
                <a:off x="509" y="399"/>
                <a:ext cx="75" cy="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7" name="Shape 7">
                <a:extLst>
                  <a:ext uri="{FF2B5EF4-FFF2-40B4-BE49-F238E27FC236}">
                    <a16:creationId xmlns:a16="http://schemas.microsoft.com/office/drawing/2014/main" id="{A7328F4C-559F-4DE3-BBE9-3191F66D46B6}"/>
                  </a:ext>
                </a:extLst>
              </xdr:cNvPr>
              <xdr:cNvSpPr/>
            </xdr:nvSpPr>
            <xdr:spPr>
              <a:xfrm>
                <a:off x="509" y="399"/>
                <a:ext cx="19" cy="17"/>
              </a:xfrm>
              <a:prstGeom prst="rect">
                <a:avLst/>
              </a:prstGeom>
              <a:solidFill>
                <a:srgbClr val="FF00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8" name="Shape 8">
                <a:extLst>
                  <a:ext uri="{FF2B5EF4-FFF2-40B4-BE49-F238E27FC236}">
                    <a16:creationId xmlns:a16="http://schemas.microsoft.com/office/drawing/2014/main" id="{75D44C40-74F7-40FB-8A85-E348BB4F11CB}"/>
                  </a:ext>
                </a:extLst>
              </xdr:cNvPr>
              <xdr:cNvSpPr/>
            </xdr:nvSpPr>
            <xdr:spPr>
              <a:xfrm>
                <a:off x="537" y="399"/>
                <a:ext cx="19" cy="17"/>
              </a:xfrm>
              <a:prstGeom prst="rect">
                <a:avLst/>
              </a:prstGeom>
              <a:solidFill>
                <a:srgbClr val="FFFF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9" name="Shape 9">
                <a:extLst>
                  <a:ext uri="{FF2B5EF4-FFF2-40B4-BE49-F238E27FC236}">
                    <a16:creationId xmlns:a16="http://schemas.microsoft.com/office/drawing/2014/main" id="{174EF461-1590-464F-A4CC-C88FD45A36B4}"/>
                  </a:ext>
                </a:extLst>
              </xdr:cNvPr>
              <xdr:cNvSpPr/>
            </xdr:nvSpPr>
            <xdr:spPr>
              <a:xfrm>
                <a:off x="565" y="399"/>
                <a:ext cx="19" cy="17"/>
              </a:xfrm>
              <a:prstGeom prst="rect">
                <a:avLst/>
              </a:prstGeom>
              <a:solidFill>
                <a:srgbClr val="00FF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</xdr:grpSp>
      </xdr:grpSp>
    </xdr:grpSp>
    <xdr:clientData fLock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1</xdr:row>
      <xdr:rowOff>438150</xdr:rowOff>
    </xdr:from>
    <xdr:to>
      <xdr:col>13</xdr:col>
      <xdr:colOff>628650</xdr:colOff>
      <xdr:row>1</xdr:row>
      <xdr:rowOff>590550</xdr:rowOff>
    </xdr:to>
    <xdr:grpSp>
      <xdr:nvGrpSpPr>
        <xdr:cNvPr id="2" name="Shape 2">
          <a:extLst>
            <a:ext uri="{FF2B5EF4-FFF2-40B4-BE49-F238E27FC236}">
              <a16:creationId xmlns:a16="http://schemas.microsoft.com/office/drawing/2014/main" id="{3E04B328-90A5-46E2-AE66-BE1BB0EE115E}"/>
            </a:ext>
          </a:extLst>
        </xdr:cNvPr>
        <xdr:cNvGrpSpPr/>
      </xdr:nvGrpSpPr>
      <xdr:grpSpPr>
        <a:xfrm>
          <a:off x="8639175" y="638175"/>
          <a:ext cx="523875" cy="152400"/>
          <a:chOff x="5084063" y="3703800"/>
          <a:chExt cx="523875" cy="15240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3C376984-2D19-4CCA-8FB5-F959B1AD2121}"/>
              </a:ext>
            </a:extLst>
          </xdr:cNvPr>
          <xdr:cNvGrpSpPr/>
        </xdr:nvGrpSpPr>
        <xdr:grpSpPr>
          <a:xfrm>
            <a:off x="5084063" y="3703800"/>
            <a:ext cx="523875" cy="152400"/>
            <a:chOff x="5084063" y="3703800"/>
            <a:chExt cx="523875" cy="1524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A2F83F03-AC12-46D7-B5D0-DD2CC2494653}"/>
                </a:ext>
              </a:extLst>
            </xdr:cNvPr>
            <xdr:cNvSpPr/>
          </xdr:nvSpPr>
          <xdr:spPr>
            <a:xfrm>
              <a:off x="5084063" y="3703800"/>
              <a:ext cx="523875" cy="1524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C9FCCF34-35AC-42BA-AF73-61ABCCBCFB8D}"/>
                </a:ext>
              </a:extLst>
            </xdr:cNvPr>
            <xdr:cNvGrpSpPr/>
          </xdr:nvGrpSpPr>
          <xdr:grpSpPr>
            <a:xfrm>
              <a:off x="5084063" y="3703800"/>
              <a:ext cx="523875" cy="152400"/>
              <a:chOff x="509" y="399"/>
              <a:chExt cx="75" cy="17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DE5CC0DF-F0C0-45E7-9A93-F8CF57805702}"/>
                  </a:ext>
                </a:extLst>
              </xdr:cNvPr>
              <xdr:cNvSpPr/>
            </xdr:nvSpPr>
            <xdr:spPr>
              <a:xfrm>
                <a:off x="509" y="399"/>
                <a:ext cx="75" cy="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7" name="Shape 7">
                <a:extLst>
                  <a:ext uri="{FF2B5EF4-FFF2-40B4-BE49-F238E27FC236}">
                    <a16:creationId xmlns:a16="http://schemas.microsoft.com/office/drawing/2014/main" id="{9B33CACD-E2C9-4140-B08B-902FD15E523A}"/>
                  </a:ext>
                </a:extLst>
              </xdr:cNvPr>
              <xdr:cNvSpPr/>
            </xdr:nvSpPr>
            <xdr:spPr>
              <a:xfrm>
                <a:off x="509" y="399"/>
                <a:ext cx="19" cy="17"/>
              </a:xfrm>
              <a:prstGeom prst="rect">
                <a:avLst/>
              </a:prstGeom>
              <a:solidFill>
                <a:srgbClr val="FF00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8" name="Shape 8">
                <a:extLst>
                  <a:ext uri="{FF2B5EF4-FFF2-40B4-BE49-F238E27FC236}">
                    <a16:creationId xmlns:a16="http://schemas.microsoft.com/office/drawing/2014/main" id="{780F891E-EADC-413C-B27D-34455D220F8B}"/>
                  </a:ext>
                </a:extLst>
              </xdr:cNvPr>
              <xdr:cNvSpPr/>
            </xdr:nvSpPr>
            <xdr:spPr>
              <a:xfrm>
                <a:off x="537" y="399"/>
                <a:ext cx="19" cy="17"/>
              </a:xfrm>
              <a:prstGeom prst="rect">
                <a:avLst/>
              </a:prstGeom>
              <a:solidFill>
                <a:srgbClr val="FFFF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9" name="Shape 9">
                <a:extLst>
                  <a:ext uri="{FF2B5EF4-FFF2-40B4-BE49-F238E27FC236}">
                    <a16:creationId xmlns:a16="http://schemas.microsoft.com/office/drawing/2014/main" id="{3E5842DD-DB90-43B7-A4F2-E2C4BC9FCBD5}"/>
                  </a:ext>
                </a:extLst>
              </xdr:cNvPr>
              <xdr:cNvSpPr/>
            </xdr:nvSpPr>
            <xdr:spPr>
              <a:xfrm>
                <a:off x="565" y="399"/>
                <a:ext cx="19" cy="17"/>
              </a:xfrm>
              <a:prstGeom prst="rect">
                <a:avLst/>
              </a:prstGeom>
              <a:solidFill>
                <a:srgbClr val="00FF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</xdr:grpSp>
      </xdr:grpSp>
    </xdr:grpSp>
    <xdr:clientData fLock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1</xdr:row>
      <xdr:rowOff>438150</xdr:rowOff>
    </xdr:from>
    <xdr:to>
      <xdr:col>13</xdr:col>
      <xdr:colOff>628650</xdr:colOff>
      <xdr:row>1</xdr:row>
      <xdr:rowOff>590550</xdr:rowOff>
    </xdr:to>
    <xdr:grpSp>
      <xdr:nvGrpSpPr>
        <xdr:cNvPr id="2" name="Shape 2">
          <a:extLst>
            <a:ext uri="{FF2B5EF4-FFF2-40B4-BE49-F238E27FC236}">
              <a16:creationId xmlns:a16="http://schemas.microsoft.com/office/drawing/2014/main" id="{0084FCE8-21B2-471E-A16E-38840091CAE0}"/>
            </a:ext>
          </a:extLst>
        </xdr:cNvPr>
        <xdr:cNvGrpSpPr/>
      </xdr:nvGrpSpPr>
      <xdr:grpSpPr>
        <a:xfrm>
          <a:off x="8639175" y="638175"/>
          <a:ext cx="523875" cy="152400"/>
          <a:chOff x="5084063" y="3703800"/>
          <a:chExt cx="523875" cy="15240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955012F4-F929-4514-97DE-72D614180437}"/>
              </a:ext>
            </a:extLst>
          </xdr:cNvPr>
          <xdr:cNvGrpSpPr/>
        </xdr:nvGrpSpPr>
        <xdr:grpSpPr>
          <a:xfrm>
            <a:off x="5084063" y="3703800"/>
            <a:ext cx="523875" cy="152400"/>
            <a:chOff x="5084063" y="3703800"/>
            <a:chExt cx="523875" cy="1524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8C7F6530-1902-42B4-AEED-420C190560D5}"/>
                </a:ext>
              </a:extLst>
            </xdr:cNvPr>
            <xdr:cNvSpPr/>
          </xdr:nvSpPr>
          <xdr:spPr>
            <a:xfrm>
              <a:off x="5084063" y="3703800"/>
              <a:ext cx="523875" cy="1524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40893F2E-92E3-4946-A44D-3513372EDA53}"/>
                </a:ext>
              </a:extLst>
            </xdr:cNvPr>
            <xdr:cNvGrpSpPr/>
          </xdr:nvGrpSpPr>
          <xdr:grpSpPr>
            <a:xfrm>
              <a:off x="5084063" y="3703800"/>
              <a:ext cx="523875" cy="152400"/>
              <a:chOff x="509" y="399"/>
              <a:chExt cx="75" cy="17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0A81D75F-45C0-4EAF-9074-83E7916E48B3}"/>
                  </a:ext>
                </a:extLst>
              </xdr:cNvPr>
              <xdr:cNvSpPr/>
            </xdr:nvSpPr>
            <xdr:spPr>
              <a:xfrm>
                <a:off x="509" y="399"/>
                <a:ext cx="75" cy="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7" name="Shape 7">
                <a:extLst>
                  <a:ext uri="{FF2B5EF4-FFF2-40B4-BE49-F238E27FC236}">
                    <a16:creationId xmlns:a16="http://schemas.microsoft.com/office/drawing/2014/main" id="{542DD20C-3F59-474C-9D1B-E9489C10E4E3}"/>
                  </a:ext>
                </a:extLst>
              </xdr:cNvPr>
              <xdr:cNvSpPr/>
            </xdr:nvSpPr>
            <xdr:spPr>
              <a:xfrm>
                <a:off x="509" y="399"/>
                <a:ext cx="19" cy="17"/>
              </a:xfrm>
              <a:prstGeom prst="rect">
                <a:avLst/>
              </a:prstGeom>
              <a:solidFill>
                <a:srgbClr val="FF00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8" name="Shape 8">
                <a:extLst>
                  <a:ext uri="{FF2B5EF4-FFF2-40B4-BE49-F238E27FC236}">
                    <a16:creationId xmlns:a16="http://schemas.microsoft.com/office/drawing/2014/main" id="{ADA22D95-645B-4AB7-A541-180D3DC047B7}"/>
                  </a:ext>
                </a:extLst>
              </xdr:cNvPr>
              <xdr:cNvSpPr/>
            </xdr:nvSpPr>
            <xdr:spPr>
              <a:xfrm>
                <a:off x="537" y="399"/>
                <a:ext cx="19" cy="17"/>
              </a:xfrm>
              <a:prstGeom prst="rect">
                <a:avLst/>
              </a:prstGeom>
              <a:solidFill>
                <a:srgbClr val="FFFF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9" name="Shape 9">
                <a:extLst>
                  <a:ext uri="{FF2B5EF4-FFF2-40B4-BE49-F238E27FC236}">
                    <a16:creationId xmlns:a16="http://schemas.microsoft.com/office/drawing/2014/main" id="{363AC818-BA40-4D4C-A108-DEB49C97F516}"/>
                  </a:ext>
                </a:extLst>
              </xdr:cNvPr>
              <xdr:cNvSpPr/>
            </xdr:nvSpPr>
            <xdr:spPr>
              <a:xfrm>
                <a:off x="565" y="399"/>
                <a:ext cx="19" cy="17"/>
              </a:xfrm>
              <a:prstGeom prst="rect">
                <a:avLst/>
              </a:prstGeom>
              <a:solidFill>
                <a:srgbClr val="00FF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</xdr:grpSp>
      </xdr:grpSp>
    </xdr:grpSp>
    <xdr:clientData fLock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1</xdr:row>
      <xdr:rowOff>438150</xdr:rowOff>
    </xdr:from>
    <xdr:to>
      <xdr:col>13</xdr:col>
      <xdr:colOff>628650</xdr:colOff>
      <xdr:row>1</xdr:row>
      <xdr:rowOff>590550</xdr:rowOff>
    </xdr:to>
    <xdr:grpSp>
      <xdr:nvGrpSpPr>
        <xdr:cNvPr id="2" name="Shape 2">
          <a:extLst>
            <a:ext uri="{FF2B5EF4-FFF2-40B4-BE49-F238E27FC236}">
              <a16:creationId xmlns:a16="http://schemas.microsoft.com/office/drawing/2014/main" id="{3DAF3850-C9E5-4A95-A893-96F04DE53E02}"/>
            </a:ext>
          </a:extLst>
        </xdr:cNvPr>
        <xdr:cNvGrpSpPr/>
      </xdr:nvGrpSpPr>
      <xdr:grpSpPr>
        <a:xfrm>
          <a:off x="8639175" y="638175"/>
          <a:ext cx="523875" cy="152400"/>
          <a:chOff x="5084063" y="3703800"/>
          <a:chExt cx="523875" cy="15240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9FEE9A02-1A87-4699-AD1C-6223028C86E5}"/>
              </a:ext>
            </a:extLst>
          </xdr:cNvPr>
          <xdr:cNvGrpSpPr/>
        </xdr:nvGrpSpPr>
        <xdr:grpSpPr>
          <a:xfrm>
            <a:off x="5084063" y="3703800"/>
            <a:ext cx="523875" cy="152400"/>
            <a:chOff x="5084063" y="3703800"/>
            <a:chExt cx="523875" cy="1524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566DDAB0-C7E7-4DE4-B053-10EB80AF4048}"/>
                </a:ext>
              </a:extLst>
            </xdr:cNvPr>
            <xdr:cNvSpPr/>
          </xdr:nvSpPr>
          <xdr:spPr>
            <a:xfrm>
              <a:off x="5084063" y="3703800"/>
              <a:ext cx="523875" cy="1524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F958306B-0CFD-4193-92A3-A5816B3A5BFD}"/>
                </a:ext>
              </a:extLst>
            </xdr:cNvPr>
            <xdr:cNvGrpSpPr/>
          </xdr:nvGrpSpPr>
          <xdr:grpSpPr>
            <a:xfrm>
              <a:off x="5084063" y="3703800"/>
              <a:ext cx="523875" cy="152400"/>
              <a:chOff x="509" y="399"/>
              <a:chExt cx="75" cy="17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0BE873CB-C155-4075-AE91-8A122CD655FD}"/>
                  </a:ext>
                </a:extLst>
              </xdr:cNvPr>
              <xdr:cNvSpPr/>
            </xdr:nvSpPr>
            <xdr:spPr>
              <a:xfrm>
                <a:off x="509" y="399"/>
                <a:ext cx="75" cy="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7" name="Shape 7">
                <a:extLst>
                  <a:ext uri="{FF2B5EF4-FFF2-40B4-BE49-F238E27FC236}">
                    <a16:creationId xmlns:a16="http://schemas.microsoft.com/office/drawing/2014/main" id="{E595F6CD-1C51-4271-A725-9217F62C93CB}"/>
                  </a:ext>
                </a:extLst>
              </xdr:cNvPr>
              <xdr:cNvSpPr/>
            </xdr:nvSpPr>
            <xdr:spPr>
              <a:xfrm>
                <a:off x="509" y="399"/>
                <a:ext cx="19" cy="17"/>
              </a:xfrm>
              <a:prstGeom prst="rect">
                <a:avLst/>
              </a:prstGeom>
              <a:solidFill>
                <a:srgbClr val="FF00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8" name="Shape 8">
                <a:extLst>
                  <a:ext uri="{FF2B5EF4-FFF2-40B4-BE49-F238E27FC236}">
                    <a16:creationId xmlns:a16="http://schemas.microsoft.com/office/drawing/2014/main" id="{684EFE2B-AE44-4175-9BF9-C75B15CCAA23}"/>
                  </a:ext>
                </a:extLst>
              </xdr:cNvPr>
              <xdr:cNvSpPr/>
            </xdr:nvSpPr>
            <xdr:spPr>
              <a:xfrm>
                <a:off x="537" y="399"/>
                <a:ext cx="19" cy="17"/>
              </a:xfrm>
              <a:prstGeom prst="rect">
                <a:avLst/>
              </a:prstGeom>
              <a:solidFill>
                <a:srgbClr val="FFFF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9" name="Shape 9">
                <a:extLst>
                  <a:ext uri="{FF2B5EF4-FFF2-40B4-BE49-F238E27FC236}">
                    <a16:creationId xmlns:a16="http://schemas.microsoft.com/office/drawing/2014/main" id="{341F1F09-932F-4BD6-9CE8-95D79C3F4D48}"/>
                  </a:ext>
                </a:extLst>
              </xdr:cNvPr>
              <xdr:cNvSpPr/>
            </xdr:nvSpPr>
            <xdr:spPr>
              <a:xfrm>
                <a:off x="565" y="399"/>
                <a:ext cx="19" cy="17"/>
              </a:xfrm>
              <a:prstGeom prst="rect">
                <a:avLst/>
              </a:prstGeom>
              <a:solidFill>
                <a:srgbClr val="00FF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</xdr:grpSp>
      </xdr:grpSp>
    </xdr:grpSp>
    <xdr:clientData fLock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1</xdr:row>
      <xdr:rowOff>438150</xdr:rowOff>
    </xdr:from>
    <xdr:to>
      <xdr:col>13</xdr:col>
      <xdr:colOff>628650</xdr:colOff>
      <xdr:row>1</xdr:row>
      <xdr:rowOff>590550</xdr:rowOff>
    </xdr:to>
    <xdr:grpSp>
      <xdr:nvGrpSpPr>
        <xdr:cNvPr id="2" name="Shape 2">
          <a:extLst>
            <a:ext uri="{FF2B5EF4-FFF2-40B4-BE49-F238E27FC236}">
              <a16:creationId xmlns:a16="http://schemas.microsoft.com/office/drawing/2014/main" id="{134E14EC-C34E-4A05-A759-8839818060B6}"/>
            </a:ext>
          </a:extLst>
        </xdr:cNvPr>
        <xdr:cNvGrpSpPr/>
      </xdr:nvGrpSpPr>
      <xdr:grpSpPr>
        <a:xfrm>
          <a:off x="8639175" y="638175"/>
          <a:ext cx="523875" cy="152400"/>
          <a:chOff x="5084063" y="3703800"/>
          <a:chExt cx="523875" cy="15240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A9789E1C-6012-4F2E-B943-D6F4C037FBA3}"/>
              </a:ext>
            </a:extLst>
          </xdr:cNvPr>
          <xdr:cNvGrpSpPr/>
        </xdr:nvGrpSpPr>
        <xdr:grpSpPr>
          <a:xfrm>
            <a:off x="5084063" y="3703800"/>
            <a:ext cx="523875" cy="152400"/>
            <a:chOff x="5084063" y="3703800"/>
            <a:chExt cx="523875" cy="1524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8E39999E-8488-44B5-B88E-A37E461C5EC1}"/>
                </a:ext>
              </a:extLst>
            </xdr:cNvPr>
            <xdr:cNvSpPr/>
          </xdr:nvSpPr>
          <xdr:spPr>
            <a:xfrm>
              <a:off x="5084063" y="3703800"/>
              <a:ext cx="523875" cy="1524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6FC328FF-2BC4-410D-8F62-3B011EA72AB6}"/>
                </a:ext>
              </a:extLst>
            </xdr:cNvPr>
            <xdr:cNvGrpSpPr/>
          </xdr:nvGrpSpPr>
          <xdr:grpSpPr>
            <a:xfrm>
              <a:off x="5084063" y="3703800"/>
              <a:ext cx="523875" cy="152400"/>
              <a:chOff x="509" y="399"/>
              <a:chExt cx="75" cy="17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165FDB4D-3DAF-438F-94DB-0544F40DF4E4}"/>
                  </a:ext>
                </a:extLst>
              </xdr:cNvPr>
              <xdr:cNvSpPr/>
            </xdr:nvSpPr>
            <xdr:spPr>
              <a:xfrm>
                <a:off x="509" y="399"/>
                <a:ext cx="75" cy="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7" name="Shape 7">
                <a:extLst>
                  <a:ext uri="{FF2B5EF4-FFF2-40B4-BE49-F238E27FC236}">
                    <a16:creationId xmlns:a16="http://schemas.microsoft.com/office/drawing/2014/main" id="{605E600E-B066-48A8-A8E8-F6E9963C61AD}"/>
                  </a:ext>
                </a:extLst>
              </xdr:cNvPr>
              <xdr:cNvSpPr/>
            </xdr:nvSpPr>
            <xdr:spPr>
              <a:xfrm>
                <a:off x="509" y="399"/>
                <a:ext cx="19" cy="17"/>
              </a:xfrm>
              <a:prstGeom prst="rect">
                <a:avLst/>
              </a:prstGeom>
              <a:solidFill>
                <a:srgbClr val="FF00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8" name="Shape 8">
                <a:extLst>
                  <a:ext uri="{FF2B5EF4-FFF2-40B4-BE49-F238E27FC236}">
                    <a16:creationId xmlns:a16="http://schemas.microsoft.com/office/drawing/2014/main" id="{3A79E466-84A5-4A6C-B53F-BE32322EB1AB}"/>
                  </a:ext>
                </a:extLst>
              </xdr:cNvPr>
              <xdr:cNvSpPr/>
            </xdr:nvSpPr>
            <xdr:spPr>
              <a:xfrm>
                <a:off x="537" y="399"/>
                <a:ext cx="19" cy="17"/>
              </a:xfrm>
              <a:prstGeom prst="rect">
                <a:avLst/>
              </a:prstGeom>
              <a:solidFill>
                <a:srgbClr val="FFFF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9" name="Shape 9">
                <a:extLst>
                  <a:ext uri="{FF2B5EF4-FFF2-40B4-BE49-F238E27FC236}">
                    <a16:creationId xmlns:a16="http://schemas.microsoft.com/office/drawing/2014/main" id="{04760F94-A420-430A-9B7E-FAA83E6A9F63}"/>
                  </a:ext>
                </a:extLst>
              </xdr:cNvPr>
              <xdr:cNvSpPr/>
            </xdr:nvSpPr>
            <xdr:spPr>
              <a:xfrm>
                <a:off x="565" y="399"/>
                <a:ext cx="19" cy="17"/>
              </a:xfrm>
              <a:prstGeom prst="rect">
                <a:avLst/>
              </a:prstGeom>
              <a:solidFill>
                <a:srgbClr val="00FF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</xdr:grpSp>
      </xdr:grpSp>
    </xdr:grp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1</xdr:row>
      <xdr:rowOff>438150</xdr:rowOff>
    </xdr:from>
    <xdr:to>
      <xdr:col>13</xdr:col>
      <xdr:colOff>628650</xdr:colOff>
      <xdr:row>1</xdr:row>
      <xdr:rowOff>590550</xdr:rowOff>
    </xdr:to>
    <xdr:grpSp>
      <xdr:nvGrpSpPr>
        <xdr:cNvPr id="2" name="Shape 2">
          <a:extLst>
            <a:ext uri="{FF2B5EF4-FFF2-40B4-BE49-F238E27FC236}">
              <a16:creationId xmlns:a16="http://schemas.microsoft.com/office/drawing/2014/main" id="{AB1B922E-475F-43B1-A719-17749B9A5795}"/>
            </a:ext>
          </a:extLst>
        </xdr:cNvPr>
        <xdr:cNvGrpSpPr/>
      </xdr:nvGrpSpPr>
      <xdr:grpSpPr>
        <a:xfrm>
          <a:off x="8639175" y="638175"/>
          <a:ext cx="523875" cy="152400"/>
          <a:chOff x="5084063" y="3703800"/>
          <a:chExt cx="523875" cy="15240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230E207D-497E-4B60-964C-E2CAE465F472}"/>
              </a:ext>
            </a:extLst>
          </xdr:cNvPr>
          <xdr:cNvGrpSpPr/>
        </xdr:nvGrpSpPr>
        <xdr:grpSpPr>
          <a:xfrm>
            <a:off x="5084063" y="3703800"/>
            <a:ext cx="523875" cy="152400"/>
            <a:chOff x="5084063" y="3703800"/>
            <a:chExt cx="523875" cy="1524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83C75A9F-2BE2-48CA-AB0B-A05614824755}"/>
                </a:ext>
              </a:extLst>
            </xdr:cNvPr>
            <xdr:cNvSpPr/>
          </xdr:nvSpPr>
          <xdr:spPr>
            <a:xfrm>
              <a:off x="5084063" y="3703800"/>
              <a:ext cx="523875" cy="1524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228ACDDC-E6AD-4DBF-9BDB-3910E11EC1E0}"/>
                </a:ext>
              </a:extLst>
            </xdr:cNvPr>
            <xdr:cNvGrpSpPr/>
          </xdr:nvGrpSpPr>
          <xdr:grpSpPr>
            <a:xfrm>
              <a:off x="5084063" y="3703800"/>
              <a:ext cx="523875" cy="152400"/>
              <a:chOff x="509" y="399"/>
              <a:chExt cx="75" cy="17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A11903C8-CBE3-4611-B355-92958D3FED39}"/>
                  </a:ext>
                </a:extLst>
              </xdr:cNvPr>
              <xdr:cNvSpPr/>
            </xdr:nvSpPr>
            <xdr:spPr>
              <a:xfrm>
                <a:off x="509" y="399"/>
                <a:ext cx="75" cy="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7" name="Shape 7">
                <a:extLst>
                  <a:ext uri="{FF2B5EF4-FFF2-40B4-BE49-F238E27FC236}">
                    <a16:creationId xmlns:a16="http://schemas.microsoft.com/office/drawing/2014/main" id="{D19A66C2-73F5-4948-9200-08D9E96D1C61}"/>
                  </a:ext>
                </a:extLst>
              </xdr:cNvPr>
              <xdr:cNvSpPr/>
            </xdr:nvSpPr>
            <xdr:spPr>
              <a:xfrm>
                <a:off x="509" y="399"/>
                <a:ext cx="19" cy="17"/>
              </a:xfrm>
              <a:prstGeom prst="rect">
                <a:avLst/>
              </a:prstGeom>
              <a:solidFill>
                <a:srgbClr val="FF00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8" name="Shape 8">
                <a:extLst>
                  <a:ext uri="{FF2B5EF4-FFF2-40B4-BE49-F238E27FC236}">
                    <a16:creationId xmlns:a16="http://schemas.microsoft.com/office/drawing/2014/main" id="{23D33264-7FC0-496C-A919-A337E1F94617}"/>
                  </a:ext>
                </a:extLst>
              </xdr:cNvPr>
              <xdr:cNvSpPr/>
            </xdr:nvSpPr>
            <xdr:spPr>
              <a:xfrm>
                <a:off x="537" y="399"/>
                <a:ext cx="19" cy="17"/>
              </a:xfrm>
              <a:prstGeom prst="rect">
                <a:avLst/>
              </a:prstGeom>
              <a:solidFill>
                <a:srgbClr val="FFFF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9" name="Shape 9">
                <a:extLst>
                  <a:ext uri="{FF2B5EF4-FFF2-40B4-BE49-F238E27FC236}">
                    <a16:creationId xmlns:a16="http://schemas.microsoft.com/office/drawing/2014/main" id="{905CD744-0E06-4C3B-908E-E0330B8F96EB}"/>
                  </a:ext>
                </a:extLst>
              </xdr:cNvPr>
              <xdr:cNvSpPr/>
            </xdr:nvSpPr>
            <xdr:spPr>
              <a:xfrm>
                <a:off x="565" y="399"/>
                <a:ext cx="19" cy="17"/>
              </a:xfrm>
              <a:prstGeom prst="rect">
                <a:avLst/>
              </a:prstGeom>
              <a:solidFill>
                <a:srgbClr val="00FF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</xdr:grpSp>
      </xdr:grpSp>
    </xdr:grpSp>
    <xdr:clientData fLock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1</xdr:row>
      <xdr:rowOff>438150</xdr:rowOff>
    </xdr:from>
    <xdr:to>
      <xdr:col>13</xdr:col>
      <xdr:colOff>628650</xdr:colOff>
      <xdr:row>1</xdr:row>
      <xdr:rowOff>590550</xdr:rowOff>
    </xdr:to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8639175" y="638175"/>
          <a:ext cx="523875" cy="152400"/>
          <a:chOff x="5084063" y="3703800"/>
          <a:chExt cx="523875" cy="15240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GrpSpPr/>
        </xdr:nvGrpSpPr>
        <xdr:grpSpPr>
          <a:xfrm>
            <a:off x="5084063" y="3703800"/>
            <a:ext cx="523875" cy="152400"/>
            <a:chOff x="5084063" y="3703800"/>
            <a:chExt cx="523875" cy="1524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/>
          </xdr:nvSpPr>
          <xdr:spPr>
            <a:xfrm>
              <a:off x="5084063" y="3703800"/>
              <a:ext cx="523875" cy="1524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GrpSpPr/>
          </xdr:nvGrpSpPr>
          <xdr:grpSpPr>
            <a:xfrm>
              <a:off x="5084063" y="3703800"/>
              <a:ext cx="523875" cy="152400"/>
              <a:chOff x="509" y="399"/>
              <a:chExt cx="75" cy="17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00000000-0008-0000-0200-000006000000}"/>
                  </a:ext>
                </a:extLst>
              </xdr:cNvPr>
              <xdr:cNvSpPr/>
            </xdr:nvSpPr>
            <xdr:spPr>
              <a:xfrm>
                <a:off x="509" y="399"/>
                <a:ext cx="75" cy="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7" name="Shape 7">
                <a:extLst>
                  <a:ext uri="{FF2B5EF4-FFF2-40B4-BE49-F238E27FC236}">
                    <a16:creationId xmlns:a16="http://schemas.microsoft.com/office/drawing/2014/main" id="{00000000-0008-0000-0200-000007000000}"/>
                  </a:ext>
                </a:extLst>
              </xdr:cNvPr>
              <xdr:cNvSpPr/>
            </xdr:nvSpPr>
            <xdr:spPr>
              <a:xfrm>
                <a:off x="509" y="399"/>
                <a:ext cx="19" cy="17"/>
              </a:xfrm>
              <a:prstGeom prst="rect">
                <a:avLst/>
              </a:prstGeom>
              <a:solidFill>
                <a:srgbClr val="FF00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8" name="Shape 8">
                <a:extLst>
                  <a:ext uri="{FF2B5EF4-FFF2-40B4-BE49-F238E27FC236}">
                    <a16:creationId xmlns:a16="http://schemas.microsoft.com/office/drawing/2014/main" id="{00000000-0008-0000-0200-000008000000}"/>
                  </a:ext>
                </a:extLst>
              </xdr:cNvPr>
              <xdr:cNvSpPr/>
            </xdr:nvSpPr>
            <xdr:spPr>
              <a:xfrm>
                <a:off x="537" y="399"/>
                <a:ext cx="19" cy="17"/>
              </a:xfrm>
              <a:prstGeom prst="rect">
                <a:avLst/>
              </a:prstGeom>
              <a:solidFill>
                <a:srgbClr val="FFFF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9" name="Shape 9">
                <a:extLst>
                  <a:ext uri="{FF2B5EF4-FFF2-40B4-BE49-F238E27FC236}">
                    <a16:creationId xmlns:a16="http://schemas.microsoft.com/office/drawing/2014/main" id="{00000000-0008-0000-0200-000009000000}"/>
                  </a:ext>
                </a:extLst>
              </xdr:cNvPr>
              <xdr:cNvSpPr/>
            </xdr:nvSpPr>
            <xdr:spPr>
              <a:xfrm>
                <a:off x="565" y="399"/>
                <a:ext cx="19" cy="17"/>
              </a:xfrm>
              <a:prstGeom prst="rect">
                <a:avLst/>
              </a:prstGeom>
              <a:solidFill>
                <a:srgbClr val="00FF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</xdr:grpSp>
      </xdr:grpSp>
    </xdr:grp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1</xdr:row>
      <xdr:rowOff>438150</xdr:rowOff>
    </xdr:from>
    <xdr:to>
      <xdr:col>13</xdr:col>
      <xdr:colOff>628650</xdr:colOff>
      <xdr:row>1</xdr:row>
      <xdr:rowOff>590550</xdr:rowOff>
    </xdr:to>
    <xdr:grpSp>
      <xdr:nvGrpSpPr>
        <xdr:cNvPr id="2" name="Shape 2">
          <a:extLst>
            <a:ext uri="{FF2B5EF4-FFF2-40B4-BE49-F238E27FC236}">
              <a16:creationId xmlns:a16="http://schemas.microsoft.com/office/drawing/2014/main" id="{1C84C901-3956-4324-85C6-8F7D97177496}"/>
            </a:ext>
          </a:extLst>
        </xdr:cNvPr>
        <xdr:cNvGrpSpPr/>
      </xdr:nvGrpSpPr>
      <xdr:grpSpPr>
        <a:xfrm>
          <a:off x="8639175" y="638175"/>
          <a:ext cx="523875" cy="152400"/>
          <a:chOff x="5084063" y="3703800"/>
          <a:chExt cx="523875" cy="15240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AF2640AD-9882-4506-A34A-D1C35DA93C81}"/>
              </a:ext>
            </a:extLst>
          </xdr:cNvPr>
          <xdr:cNvGrpSpPr/>
        </xdr:nvGrpSpPr>
        <xdr:grpSpPr>
          <a:xfrm>
            <a:off x="5084063" y="3703800"/>
            <a:ext cx="523875" cy="152400"/>
            <a:chOff x="5084063" y="3703800"/>
            <a:chExt cx="523875" cy="1524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1F6D1D4A-A47F-474E-8BD6-145B576E60CE}"/>
                </a:ext>
              </a:extLst>
            </xdr:cNvPr>
            <xdr:cNvSpPr/>
          </xdr:nvSpPr>
          <xdr:spPr>
            <a:xfrm>
              <a:off x="5084063" y="3703800"/>
              <a:ext cx="523875" cy="1524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FB993E56-A2D5-496D-B466-D5EE2A9F869B}"/>
                </a:ext>
              </a:extLst>
            </xdr:cNvPr>
            <xdr:cNvGrpSpPr/>
          </xdr:nvGrpSpPr>
          <xdr:grpSpPr>
            <a:xfrm>
              <a:off x="5084063" y="3703800"/>
              <a:ext cx="523875" cy="152400"/>
              <a:chOff x="509" y="399"/>
              <a:chExt cx="75" cy="17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B42227AF-98B8-4572-ACB0-E26D4463BAE4}"/>
                  </a:ext>
                </a:extLst>
              </xdr:cNvPr>
              <xdr:cNvSpPr/>
            </xdr:nvSpPr>
            <xdr:spPr>
              <a:xfrm>
                <a:off x="509" y="399"/>
                <a:ext cx="75" cy="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7" name="Shape 7">
                <a:extLst>
                  <a:ext uri="{FF2B5EF4-FFF2-40B4-BE49-F238E27FC236}">
                    <a16:creationId xmlns:a16="http://schemas.microsoft.com/office/drawing/2014/main" id="{18DB19B8-B086-491B-BB0D-ACE37FA06616}"/>
                  </a:ext>
                </a:extLst>
              </xdr:cNvPr>
              <xdr:cNvSpPr/>
            </xdr:nvSpPr>
            <xdr:spPr>
              <a:xfrm>
                <a:off x="509" y="399"/>
                <a:ext cx="19" cy="17"/>
              </a:xfrm>
              <a:prstGeom prst="rect">
                <a:avLst/>
              </a:prstGeom>
              <a:solidFill>
                <a:srgbClr val="FF00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8" name="Shape 8">
                <a:extLst>
                  <a:ext uri="{FF2B5EF4-FFF2-40B4-BE49-F238E27FC236}">
                    <a16:creationId xmlns:a16="http://schemas.microsoft.com/office/drawing/2014/main" id="{61CA8171-9789-4032-B71A-F208A2F68269}"/>
                  </a:ext>
                </a:extLst>
              </xdr:cNvPr>
              <xdr:cNvSpPr/>
            </xdr:nvSpPr>
            <xdr:spPr>
              <a:xfrm>
                <a:off x="537" y="399"/>
                <a:ext cx="19" cy="17"/>
              </a:xfrm>
              <a:prstGeom prst="rect">
                <a:avLst/>
              </a:prstGeom>
              <a:solidFill>
                <a:srgbClr val="FFFF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9" name="Shape 9">
                <a:extLst>
                  <a:ext uri="{FF2B5EF4-FFF2-40B4-BE49-F238E27FC236}">
                    <a16:creationId xmlns:a16="http://schemas.microsoft.com/office/drawing/2014/main" id="{483A57EB-58EF-4697-8A61-26E292790BAC}"/>
                  </a:ext>
                </a:extLst>
              </xdr:cNvPr>
              <xdr:cNvSpPr/>
            </xdr:nvSpPr>
            <xdr:spPr>
              <a:xfrm>
                <a:off x="565" y="399"/>
                <a:ext cx="19" cy="17"/>
              </a:xfrm>
              <a:prstGeom prst="rect">
                <a:avLst/>
              </a:prstGeom>
              <a:solidFill>
                <a:srgbClr val="00FF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</xdr:grpSp>
      </xdr:grpSp>
    </xdr:grpSp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1</xdr:row>
      <xdr:rowOff>438150</xdr:rowOff>
    </xdr:from>
    <xdr:to>
      <xdr:col>13</xdr:col>
      <xdr:colOff>628650</xdr:colOff>
      <xdr:row>1</xdr:row>
      <xdr:rowOff>590550</xdr:rowOff>
    </xdr:to>
    <xdr:grpSp>
      <xdr:nvGrpSpPr>
        <xdr:cNvPr id="2" name="Shape 2">
          <a:extLst>
            <a:ext uri="{FF2B5EF4-FFF2-40B4-BE49-F238E27FC236}">
              <a16:creationId xmlns:a16="http://schemas.microsoft.com/office/drawing/2014/main" id="{12028FEE-2BF1-4CF9-9CBE-DAD45A5A599D}"/>
            </a:ext>
          </a:extLst>
        </xdr:cNvPr>
        <xdr:cNvGrpSpPr/>
      </xdr:nvGrpSpPr>
      <xdr:grpSpPr>
        <a:xfrm>
          <a:off x="8639175" y="638175"/>
          <a:ext cx="523875" cy="152400"/>
          <a:chOff x="5084063" y="3703800"/>
          <a:chExt cx="523875" cy="15240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5B97935F-AE59-4279-912D-666BF441FFF4}"/>
              </a:ext>
            </a:extLst>
          </xdr:cNvPr>
          <xdr:cNvGrpSpPr/>
        </xdr:nvGrpSpPr>
        <xdr:grpSpPr>
          <a:xfrm>
            <a:off x="5084063" y="3703800"/>
            <a:ext cx="523875" cy="152400"/>
            <a:chOff x="5084063" y="3703800"/>
            <a:chExt cx="523875" cy="1524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6AFC20AE-6DCF-4842-8CC1-85D181E8BF1D}"/>
                </a:ext>
              </a:extLst>
            </xdr:cNvPr>
            <xdr:cNvSpPr/>
          </xdr:nvSpPr>
          <xdr:spPr>
            <a:xfrm>
              <a:off x="5084063" y="3703800"/>
              <a:ext cx="523875" cy="1524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A306FFA1-3D18-4814-9C45-35AE8F2C72AE}"/>
                </a:ext>
              </a:extLst>
            </xdr:cNvPr>
            <xdr:cNvGrpSpPr/>
          </xdr:nvGrpSpPr>
          <xdr:grpSpPr>
            <a:xfrm>
              <a:off x="5084063" y="3703800"/>
              <a:ext cx="523875" cy="152400"/>
              <a:chOff x="509" y="399"/>
              <a:chExt cx="75" cy="17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2E1F75F2-D976-4326-A4EC-CE7312570620}"/>
                  </a:ext>
                </a:extLst>
              </xdr:cNvPr>
              <xdr:cNvSpPr/>
            </xdr:nvSpPr>
            <xdr:spPr>
              <a:xfrm>
                <a:off x="509" y="399"/>
                <a:ext cx="75" cy="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7" name="Shape 7">
                <a:extLst>
                  <a:ext uri="{FF2B5EF4-FFF2-40B4-BE49-F238E27FC236}">
                    <a16:creationId xmlns:a16="http://schemas.microsoft.com/office/drawing/2014/main" id="{6114CE64-4E68-4BA7-9D91-83698405B51A}"/>
                  </a:ext>
                </a:extLst>
              </xdr:cNvPr>
              <xdr:cNvSpPr/>
            </xdr:nvSpPr>
            <xdr:spPr>
              <a:xfrm>
                <a:off x="509" y="399"/>
                <a:ext cx="19" cy="17"/>
              </a:xfrm>
              <a:prstGeom prst="rect">
                <a:avLst/>
              </a:prstGeom>
              <a:solidFill>
                <a:srgbClr val="FF00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8" name="Shape 8">
                <a:extLst>
                  <a:ext uri="{FF2B5EF4-FFF2-40B4-BE49-F238E27FC236}">
                    <a16:creationId xmlns:a16="http://schemas.microsoft.com/office/drawing/2014/main" id="{D2192178-8CBA-4E41-9F1E-942DA071226F}"/>
                  </a:ext>
                </a:extLst>
              </xdr:cNvPr>
              <xdr:cNvSpPr/>
            </xdr:nvSpPr>
            <xdr:spPr>
              <a:xfrm>
                <a:off x="537" y="399"/>
                <a:ext cx="19" cy="17"/>
              </a:xfrm>
              <a:prstGeom prst="rect">
                <a:avLst/>
              </a:prstGeom>
              <a:solidFill>
                <a:srgbClr val="FFFF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9" name="Shape 9">
                <a:extLst>
                  <a:ext uri="{FF2B5EF4-FFF2-40B4-BE49-F238E27FC236}">
                    <a16:creationId xmlns:a16="http://schemas.microsoft.com/office/drawing/2014/main" id="{3E6A2B6A-31CD-424E-BD14-C1B03E56E8B2}"/>
                  </a:ext>
                </a:extLst>
              </xdr:cNvPr>
              <xdr:cNvSpPr/>
            </xdr:nvSpPr>
            <xdr:spPr>
              <a:xfrm>
                <a:off x="565" y="399"/>
                <a:ext cx="19" cy="17"/>
              </a:xfrm>
              <a:prstGeom prst="rect">
                <a:avLst/>
              </a:prstGeom>
              <a:solidFill>
                <a:srgbClr val="00FF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</xdr:grpSp>
      </xdr:grpSp>
    </xdr:grpSp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1</xdr:row>
      <xdr:rowOff>438150</xdr:rowOff>
    </xdr:from>
    <xdr:to>
      <xdr:col>13</xdr:col>
      <xdr:colOff>628650</xdr:colOff>
      <xdr:row>1</xdr:row>
      <xdr:rowOff>590550</xdr:rowOff>
    </xdr:to>
    <xdr:grpSp>
      <xdr:nvGrpSpPr>
        <xdr:cNvPr id="2" name="Shape 2">
          <a:extLst>
            <a:ext uri="{FF2B5EF4-FFF2-40B4-BE49-F238E27FC236}">
              <a16:creationId xmlns:a16="http://schemas.microsoft.com/office/drawing/2014/main" id="{E490AE69-D825-4F86-8EF0-16D42D28E937}"/>
            </a:ext>
          </a:extLst>
        </xdr:cNvPr>
        <xdr:cNvGrpSpPr/>
      </xdr:nvGrpSpPr>
      <xdr:grpSpPr>
        <a:xfrm>
          <a:off x="8639175" y="638175"/>
          <a:ext cx="523875" cy="152400"/>
          <a:chOff x="5084063" y="3703800"/>
          <a:chExt cx="523875" cy="15240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97D615FD-D0D2-4FDD-A04E-AD6D5F2BBC4F}"/>
              </a:ext>
            </a:extLst>
          </xdr:cNvPr>
          <xdr:cNvGrpSpPr/>
        </xdr:nvGrpSpPr>
        <xdr:grpSpPr>
          <a:xfrm>
            <a:off x="5084063" y="3703800"/>
            <a:ext cx="523875" cy="152400"/>
            <a:chOff x="5084063" y="3703800"/>
            <a:chExt cx="523875" cy="1524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F8ED9CA1-FE0D-417A-BBF3-0005DE4BC2AD}"/>
                </a:ext>
              </a:extLst>
            </xdr:cNvPr>
            <xdr:cNvSpPr/>
          </xdr:nvSpPr>
          <xdr:spPr>
            <a:xfrm>
              <a:off x="5084063" y="3703800"/>
              <a:ext cx="523875" cy="1524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4FB2C9C2-3058-4B2B-9B7D-2D9E41CEFC64}"/>
                </a:ext>
              </a:extLst>
            </xdr:cNvPr>
            <xdr:cNvGrpSpPr/>
          </xdr:nvGrpSpPr>
          <xdr:grpSpPr>
            <a:xfrm>
              <a:off x="5084063" y="3703800"/>
              <a:ext cx="523875" cy="152400"/>
              <a:chOff x="509" y="399"/>
              <a:chExt cx="75" cy="17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5D9BAA7B-FC2D-4A59-A7E3-9AF13410BA17}"/>
                  </a:ext>
                </a:extLst>
              </xdr:cNvPr>
              <xdr:cNvSpPr/>
            </xdr:nvSpPr>
            <xdr:spPr>
              <a:xfrm>
                <a:off x="509" y="399"/>
                <a:ext cx="75" cy="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7" name="Shape 7">
                <a:extLst>
                  <a:ext uri="{FF2B5EF4-FFF2-40B4-BE49-F238E27FC236}">
                    <a16:creationId xmlns:a16="http://schemas.microsoft.com/office/drawing/2014/main" id="{F6F112A9-50F2-4728-88AF-B77B9A1D606D}"/>
                  </a:ext>
                </a:extLst>
              </xdr:cNvPr>
              <xdr:cNvSpPr/>
            </xdr:nvSpPr>
            <xdr:spPr>
              <a:xfrm>
                <a:off x="509" y="399"/>
                <a:ext cx="19" cy="17"/>
              </a:xfrm>
              <a:prstGeom prst="rect">
                <a:avLst/>
              </a:prstGeom>
              <a:solidFill>
                <a:srgbClr val="FF00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8" name="Shape 8">
                <a:extLst>
                  <a:ext uri="{FF2B5EF4-FFF2-40B4-BE49-F238E27FC236}">
                    <a16:creationId xmlns:a16="http://schemas.microsoft.com/office/drawing/2014/main" id="{7940EA3B-FE87-4B24-B323-6018A984BCC7}"/>
                  </a:ext>
                </a:extLst>
              </xdr:cNvPr>
              <xdr:cNvSpPr/>
            </xdr:nvSpPr>
            <xdr:spPr>
              <a:xfrm>
                <a:off x="537" y="399"/>
                <a:ext cx="19" cy="17"/>
              </a:xfrm>
              <a:prstGeom prst="rect">
                <a:avLst/>
              </a:prstGeom>
              <a:solidFill>
                <a:srgbClr val="FFFF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9" name="Shape 9">
                <a:extLst>
                  <a:ext uri="{FF2B5EF4-FFF2-40B4-BE49-F238E27FC236}">
                    <a16:creationId xmlns:a16="http://schemas.microsoft.com/office/drawing/2014/main" id="{A0B771D8-D116-4082-8699-3BF1BBA59011}"/>
                  </a:ext>
                </a:extLst>
              </xdr:cNvPr>
              <xdr:cNvSpPr/>
            </xdr:nvSpPr>
            <xdr:spPr>
              <a:xfrm>
                <a:off x="565" y="399"/>
                <a:ext cx="19" cy="17"/>
              </a:xfrm>
              <a:prstGeom prst="rect">
                <a:avLst/>
              </a:prstGeom>
              <a:solidFill>
                <a:srgbClr val="00FF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</xdr:grpSp>
      </xdr:grpSp>
    </xdr:grpSp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1</xdr:row>
      <xdr:rowOff>438150</xdr:rowOff>
    </xdr:from>
    <xdr:to>
      <xdr:col>13</xdr:col>
      <xdr:colOff>628650</xdr:colOff>
      <xdr:row>1</xdr:row>
      <xdr:rowOff>590550</xdr:rowOff>
    </xdr:to>
    <xdr:grpSp>
      <xdr:nvGrpSpPr>
        <xdr:cNvPr id="2" name="Shape 2">
          <a:extLst>
            <a:ext uri="{FF2B5EF4-FFF2-40B4-BE49-F238E27FC236}">
              <a16:creationId xmlns:a16="http://schemas.microsoft.com/office/drawing/2014/main" id="{B260DACA-AB9A-4DE3-BA5F-3D92627204D9}"/>
            </a:ext>
          </a:extLst>
        </xdr:cNvPr>
        <xdr:cNvGrpSpPr/>
      </xdr:nvGrpSpPr>
      <xdr:grpSpPr>
        <a:xfrm>
          <a:off x="8639175" y="638175"/>
          <a:ext cx="523875" cy="152400"/>
          <a:chOff x="5084063" y="3703800"/>
          <a:chExt cx="523875" cy="15240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CCFCC59B-0967-4D8D-8E6F-AE7003322795}"/>
              </a:ext>
            </a:extLst>
          </xdr:cNvPr>
          <xdr:cNvGrpSpPr/>
        </xdr:nvGrpSpPr>
        <xdr:grpSpPr>
          <a:xfrm>
            <a:off x="5084063" y="3703800"/>
            <a:ext cx="523875" cy="152400"/>
            <a:chOff x="5084063" y="3703800"/>
            <a:chExt cx="523875" cy="1524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DE0183DF-1397-489C-937B-D626AE1DB25D}"/>
                </a:ext>
              </a:extLst>
            </xdr:cNvPr>
            <xdr:cNvSpPr/>
          </xdr:nvSpPr>
          <xdr:spPr>
            <a:xfrm>
              <a:off x="5084063" y="3703800"/>
              <a:ext cx="523875" cy="1524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600F966A-0B90-47CD-AD9E-4D8E92DB7365}"/>
                </a:ext>
              </a:extLst>
            </xdr:cNvPr>
            <xdr:cNvGrpSpPr/>
          </xdr:nvGrpSpPr>
          <xdr:grpSpPr>
            <a:xfrm>
              <a:off x="5084063" y="3703800"/>
              <a:ext cx="523875" cy="152400"/>
              <a:chOff x="509" y="399"/>
              <a:chExt cx="75" cy="17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97B71B8A-1D5A-402A-8D43-1C7327673C3A}"/>
                  </a:ext>
                </a:extLst>
              </xdr:cNvPr>
              <xdr:cNvSpPr/>
            </xdr:nvSpPr>
            <xdr:spPr>
              <a:xfrm>
                <a:off x="509" y="399"/>
                <a:ext cx="75" cy="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7" name="Shape 7">
                <a:extLst>
                  <a:ext uri="{FF2B5EF4-FFF2-40B4-BE49-F238E27FC236}">
                    <a16:creationId xmlns:a16="http://schemas.microsoft.com/office/drawing/2014/main" id="{A7DE5CDC-E899-4A56-847F-0A4A6ACB8109}"/>
                  </a:ext>
                </a:extLst>
              </xdr:cNvPr>
              <xdr:cNvSpPr/>
            </xdr:nvSpPr>
            <xdr:spPr>
              <a:xfrm>
                <a:off x="509" y="399"/>
                <a:ext cx="19" cy="17"/>
              </a:xfrm>
              <a:prstGeom prst="rect">
                <a:avLst/>
              </a:prstGeom>
              <a:solidFill>
                <a:srgbClr val="FF00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8" name="Shape 8">
                <a:extLst>
                  <a:ext uri="{FF2B5EF4-FFF2-40B4-BE49-F238E27FC236}">
                    <a16:creationId xmlns:a16="http://schemas.microsoft.com/office/drawing/2014/main" id="{C771D071-7A2A-4386-80B7-4A0173C94D62}"/>
                  </a:ext>
                </a:extLst>
              </xdr:cNvPr>
              <xdr:cNvSpPr/>
            </xdr:nvSpPr>
            <xdr:spPr>
              <a:xfrm>
                <a:off x="537" y="399"/>
                <a:ext cx="19" cy="17"/>
              </a:xfrm>
              <a:prstGeom prst="rect">
                <a:avLst/>
              </a:prstGeom>
              <a:solidFill>
                <a:srgbClr val="FFFF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9" name="Shape 9">
                <a:extLst>
                  <a:ext uri="{FF2B5EF4-FFF2-40B4-BE49-F238E27FC236}">
                    <a16:creationId xmlns:a16="http://schemas.microsoft.com/office/drawing/2014/main" id="{6543AE48-83EC-48B7-ABFE-65BC0A7BFF49}"/>
                  </a:ext>
                </a:extLst>
              </xdr:cNvPr>
              <xdr:cNvSpPr/>
            </xdr:nvSpPr>
            <xdr:spPr>
              <a:xfrm>
                <a:off x="565" y="399"/>
                <a:ext cx="19" cy="17"/>
              </a:xfrm>
              <a:prstGeom prst="rect">
                <a:avLst/>
              </a:prstGeom>
              <a:solidFill>
                <a:srgbClr val="00FF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</xdr:grpSp>
      </xdr:grpSp>
    </xdr:grp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1</xdr:row>
      <xdr:rowOff>438150</xdr:rowOff>
    </xdr:from>
    <xdr:to>
      <xdr:col>13</xdr:col>
      <xdr:colOff>628650</xdr:colOff>
      <xdr:row>1</xdr:row>
      <xdr:rowOff>590550</xdr:rowOff>
    </xdr:to>
    <xdr:grpSp>
      <xdr:nvGrpSpPr>
        <xdr:cNvPr id="2" name="Shape 2">
          <a:extLst>
            <a:ext uri="{FF2B5EF4-FFF2-40B4-BE49-F238E27FC236}">
              <a16:creationId xmlns:a16="http://schemas.microsoft.com/office/drawing/2014/main" id="{18427A0B-0DAD-4283-AD4E-372085AE98C6}"/>
            </a:ext>
          </a:extLst>
        </xdr:cNvPr>
        <xdr:cNvGrpSpPr/>
      </xdr:nvGrpSpPr>
      <xdr:grpSpPr>
        <a:xfrm>
          <a:off x="8639175" y="638175"/>
          <a:ext cx="523875" cy="152400"/>
          <a:chOff x="5084063" y="3703800"/>
          <a:chExt cx="523875" cy="15240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1371F0BE-2520-4164-9F4E-9027B43C41BC}"/>
              </a:ext>
            </a:extLst>
          </xdr:cNvPr>
          <xdr:cNvGrpSpPr/>
        </xdr:nvGrpSpPr>
        <xdr:grpSpPr>
          <a:xfrm>
            <a:off x="5084063" y="3703800"/>
            <a:ext cx="523875" cy="152400"/>
            <a:chOff x="5084063" y="3703800"/>
            <a:chExt cx="523875" cy="1524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7E6D747A-719E-4720-8F4D-178D2D49E64D}"/>
                </a:ext>
              </a:extLst>
            </xdr:cNvPr>
            <xdr:cNvSpPr/>
          </xdr:nvSpPr>
          <xdr:spPr>
            <a:xfrm>
              <a:off x="5084063" y="3703800"/>
              <a:ext cx="523875" cy="1524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C153D380-782D-40E6-A44A-B35D0BBCE79A}"/>
                </a:ext>
              </a:extLst>
            </xdr:cNvPr>
            <xdr:cNvGrpSpPr/>
          </xdr:nvGrpSpPr>
          <xdr:grpSpPr>
            <a:xfrm>
              <a:off x="5084063" y="3703800"/>
              <a:ext cx="523875" cy="152400"/>
              <a:chOff x="509" y="399"/>
              <a:chExt cx="75" cy="17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A0D11130-211C-4138-BBB3-1AC3C2CF9AB3}"/>
                  </a:ext>
                </a:extLst>
              </xdr:cNvPr>
              <xdr:cNvSpPr/>
            </xdr:nvSpPr>
            <xdr:spPr>
              <a:xfrm>
                <a:off x="509" y="399"/>
                <a:ext cx="75" cy="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7" name="Shape 7">
                <a:extLst>
                  <a:ext uri="{FF2B5EF4-FFF2-40B4-BE49-F238E27FC236}">
                    <a16:creationId xmlns:a16="http://schemas.microsoft.com/office/drawing/2014/main" id="{0718D540-4F76-420E-AA6D-5F8D81533CA0}"/>
                  </a:ext>
                </a:extLst>
              </xdr:cNvPr>
              <xdr:cNvSpPr/>
            </xdr:nvSpPr>
            <xdr:spPr>
              <a:xfrm>
                <a:off x="509" y="399"/>
                <a:ext cx="19" cy="17"/>
              </a:xfrm>
              <a:prstGeom prst="rect">
                <a:avLst/>
              </a:prstGeom>
              <a:solidFill>
                <a:srgbClr val="FF00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8" name="Shape 8">
                <a:extLst>
                  <a:ext uri="{FF2B5EF4-FFF2-40B4-BE49-F238E27FC236}">
                    <a16:creationId xmlns:a16="http://schemas.microsoft.com/office/drawing/2014/main" id="{04B211C0-00BB-43C5-B42E-E63F92073BE3}"/>
                  </a:ext>
                </a:extLst>
              </xdr:cNvPr>
              <xdr:cNvSpPr/>
            </xdr:nvSpPr>
            <xdr:spPr>
              <a:xfrm>
                <a:off x="537" y="399"/>
                <a:ext cx="19" cy="17"/>
              </a:xfrm>
              <a:prstGeom prst="rect">
                <a:avLst/>
              </a:prstGeom>
              <a:solidFill>
                <a:srgbClr val="FFFF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9" name="Shape 9">
                <a:extLst>
                  <a:ext uri="{FF2B5EF4-FFF2-40B4-BE49-F238E27FC236}">
                    <a16:creationId xmlns:a16="http://schemas.microsoft.com/office/drawing/2014/main" id="{7D755818-8F6C-41EE-BD62-49E963631986}"/>
                  </a:ext>
                </a:extLst>
              </xdr:cNvPr>
              <xdr:cNvSpPr/>
            </xdr:nvSpPr>
            <xdr:spPr>
              <a:xfrm>
                <a:off x="565" y="399"/>
                <a:ext cx="19" cy="17"/>
              </a:xfrm>
              <a:prstGeom prst="rect">
                <a:avLst/>
              </a:prstGeom>
              <a:solidFill>
                <a:srgbClr val="00FF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</xdr:grpSp>
      </xdr:grpSp>
    </xdr:grpSp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1</xdr:row>
      <xdr:rowOff>438150</xdr:rowOff>
    </xdr:from>
    <xdr:to>
      <xdr:col>13</xdr:col>
      <xdr:colOff>628650</xdr:colOff>
      <xdr:row>1</xdr:row>
      <xdr:rowOff>590550</xdr:rowOff>
    </xdr:to>
    <xdr:grpSp>
      <xdr:nvGrpSpPr>
        <xdr:cNvPr id="2" name="Shape 2">
          <a:extLst>
            <a:ext uri="{FF2B5EF4-FFF2-40B4-BE49-F238E27FC236}">
              <a16:creationId xmlns:a16="http://schemas.microsoft.com/office/drawing/2014/main" id="{39B718AA-0B90-4E36-88BE-04F06F270BAD}"/>
            </a:ext>
          </a:extLst>
        </xdr:cNvPr>
        <xdr:cNvGrpSpPr/>
      </xdr:nvGrpSpPr>
      <xdr:grpSpPr>
        <a:xfrm>
          <a:off x="8639175" y="638175"/>
          <a:ext cx="523875" cy="152400"/>
          <a:chOff x="5084063" y="3703800"/>
          <a:chExt cx="523875" cy="15240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B8C902A6-EEAC-48DD-B2AB-000054C75F43}"/>
              </a:ext>
            </a:extLst>
          </xdr:cNvPr>
          <xdr:cNvGrpSpPr/>
        </xdr:nvGrpSpPr>
        <xdr:grpSpPr>
          <a:xfrm>
            <a:off x="5084063" y="3703800"/>
            <a:ext cx="523875" cy="152400"/>
            <a:chOff x="5084063" y="3703800"/>
            <a:chExt cx="523875" cy="1524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233A602F-EFAA-4601-9E82-D3D74CEC0F70}"/>
                </a:ext>
              </a:extLst>
            </xdr:cNvPr>
            <xdr:cNvSpPr/>
          </xdr:nvSpPr>
          <xdr:spPr>
            <a:xfrm>
              <a:off x="5084063" y="3703800"/>
              <a:ext cx="523875" cy="1524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54B29DAD-B316-4212-8361-9A8952A02600}"/>
                </a:ext>
              </a:extLst>
            </xdr:cNvPr>
            <xdr:cNvGrpSpPr/>
          </xdr:nvGrpSpPr>
          <xdr:grpSpPr>
            <a:xfrm>
              <a:off x="5084063" y="3703800"/>
              <a:ext cx="523875" cy="152400"/>
              <a:chOff x="509" y="399"/>
              <a:chExt cx="75" cy="17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C4A67627-E1C6-4254-A992-9AA5BF4419F5}"/>
                  </a:ext>
                </a:extLst>
              </xdr:cNvPr>
              <xdr:cNvSpPr/>
            </xdr:nvSpPr>
            <xdr:spPr>
              <a:xfrm>
                <a:off x="509" y="399"/>
                <a:ext cx="75" cy="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7" name="Shape 7">
                <a:extLst>
                  <a:ext uri="{FF2B5EF4-FFF2-40B4-BE49-F238E27FC236}">
                    <a16:creationId xmlns:a16="http://schemas.microsoft.com/office/drawing/2014/main" id="{FAD41DD6-1BA6-4418-B253-D0B5CD717123}"/>
                  </a:ext>
                </a:extLst>
              </xdr:cNvPr>
              <xdr:cNvSpPr/>
            </xdr:nvSpPr>
            <xdr:spPr>
              <a:xfrm>
                <a:off x="509" y="399"/>
                <a:ext cx="19" cy="17"/>
              </a:xfrm>
              <a:prstGeom prst="rect">
                <a:avLst/>
              </a:prstGeom>
              <a:solidFill>
                <a:srgbClr val="FF00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8" name="Shape 8">
                <a:extLst>
                  <a:ext uri="{FF2B5EF4-FFF2-40B4-BE49-F238E27FC236}">
                    <a16:creationId xmlns:a16="http://schemas.microsoft.com/office/drawing/2014/main" id="{A25F0DA4-A0A0-425D-99AA-62410AEA2DB5}"/>
                  </a:ext>
                </a:extLst>
              </xdr:cNvPr>
              <xdr:cNvSpPr/>
            </xdr:nvSpPr>
            <xdr:spPr>
              <a:xfrm>
                <a:off x="537" y="399"/>
                <a:ext cx="19" cy="17"/>
              </a:xfrm>
              <a:prstGeom prst="rect">
                <a:avLst/>
              </a:prstGeom>
              <a:solidFill>
                <a:srgbClr val="FFFF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9" name="Shape 9">
                <a:extLst>
                  <a:ext uri="{FF2B5EF4-FFF2-40B4-BE49-F238E27FC236}">
                    <a16:creationId xmlns:a16="http://schemas.microsoft.com/office/drawing/2014/main" id="{EA0FEFFA-565B-4ACE-BB75-D25544FE8B1E}"/>
                  </a:ext>
                </a:extLst>
              </xdr:cNvPr>
              <xdr:cNvSpPr/>
            </xdr:nvSpPr>
            <xdr:spPr>
              <a:xfrm>
                <a:off x="565" y="399"/>
                <a:ext cx="19" cy="17"/>
              </a:xfrm>
              <a:prstGeom prst="rect">
                <a:avLst/>
              </a:prstGeom>
              <a:solidFill>
                <a:srgbClr val="00FF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</xdr:grpSp>
      </xdr:grpSp>
    </xdr:grpSp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1</xdr:row>
      <xdr:rowOff>438150</xdr:rowOff>
    </xdr:from>
    <xdr:to>
      <xdr:col>13</xdr:col>
      <xdr:colOff>628650</xdr:colOff>
      <xdr:row>1</xdr:row>
      <xdr:rowOff>590550</xdr:rowOff>
    </xdr:to>
    <xdr:grpSp>
      <xdr:nvGrpSpPr>
        <xdr:cNvPr id="2" name="Shape 2">
          <a:extLst>
            <a:ext uri="{FF2B5EF4-FFF2-40B4-BE49-F238E27FC236}">
              <a16:creationId xmlns:a16="http://schemas.microsoft.com/office/drawing/2014/main" id="{8B021467-74BA-48A7-A525-A27A83D24021}"/>
            </a:ext>
          </a:extLst>
        </xdr:cNvPr>
        <xdr:cNvGrpSpPr/>
      </xdr:nvGrpSpPr>
      <xdr:grpSpPr>
        <a:xfrm>
          <a:off x="8639175" y="638175"/>
          <a:ext cx="523875" cy="152400"/>
          <a:chOff x="5084063" y="3703800"/>
          <a:chExt cx="523875" cy="15240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892782D7-D4ED-4A67-81EA-DDE68794CDFE}"/>
              </a:ext>
            </a:extLst>
          </xdr:cNvPr>
          <xdr:cNvGrpSpPr/>
        </xdr:nvGrpSpPr>
        <xdr:grpSpPr>
          <a:xfrm>
            <a:off x="5084063" y="3703800"/>
            <a:ext cx="523875" cy="152400"/>
            <a:chOff x="5084063" y="3703800"/>
            <a:chExt cx="523875" cy="1524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F79E7994-5979-4263-A6D7-83EAB22EDE10}"/>
                </a:ext>
              </a:extLst>
            </xdr:cNvPr>
            <xdr:cNvSpPr/>
          </xdr:nvSpPr>
          <xdr:spPr>
            <a:xfrm>
              <a:off x="5084063" y="3703800"/>
              <a:ext cx="523875" cy="1524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42C19985-ED6E-48F3-AD0D-572B2D79AC0F}"/>
                </a:ext>
              </a:extLst>
            </xdr:cNvPr>
            <xdr:cNvGrpSpPr/>
          </xdr:nvGrpSpPr>
          <xdr:grpSpPr>
            <a:xfrm>
              <a:off x="5084063" y="3703800"/>
              <a:ext cx="523875" cy="152400"/>
              <a:chOff x="509" y="399"/>
              <a:chExt cx="75" cy="17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DA356AEF-B457-43D6-8886-511FB071336C}"/>
                  </a:ext>
                </a:extLst>
              </xdr:cNvPr>
              <xdr:cNvSpPr/>
            </xdr:nvSpPr>
            <xdr:spPr>
              <a:xfrm>
                <a:off x="509" y="399"/>
                <a:ext cx="75" cy="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7" name="Shape 7">
                <a:extLst>
                  <a:ext uri="{FF2B5EF4-FFF2-40B4-BE49-F238E27FC236}">
                    <a16:creationId xmlns:a16="http://schemas.microsoft.com/office/drawing/2014/main" id="{356309E8-969D-472A-940C-B34B3951532A}"/>
                  </a:ext>
                </a:extLst>
              </xdr:cNvPr>
              <xdr:cNvSpPr/>
            </xdr:nvSpPr>
            <xdr:spPr>
              <a:xfrm>
                <a:off x="509" y="399"/>
                <a:ext cx="19" cy="17"/>
              </a:xfrm>
              <a:prstGeom prst="rect">
                <a:avLst/>
              </a:prstGeom>
              <a:solidFill>
                <a:srgbClr val="FF00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8" name="Shape 8">
                <a:extLst>
                  <a:ext uri="{FF2B5EF4-FFF2-40B4-BE49-F238E27FC236}">
                    <a16:creationId xmlns:a16="http://schemas.microsoft.com/office/drawing/2014/main" id="{784F1428-39A7-4DB5-91A1-044A2085819B}"/>
                  </a:ext>
                </a:extLst>
              </xdr:cNvPr>
              <xdr:cNvSpPr/>
            </xdr:nvSpPr>
            <xdr:spPr>
              <a:xfrm>
                <a:off x="537" y="399"/>
                <a:ext cx="19" cy="17"/>
              </a:xfrm>
              <a:prstGeom prst="rect">
                <a:avLst/>
              </a:prstGeom>
              <a:solidFill>
                <a:srgbClr val="FFFF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9" name="Shape 9">
                <a:extLst>
                  <a:ext uri="{FF2B5EF4-FFF2-40B4-BE49-F238E27FC236}">
                    <a16:creationId xmlns:a16="http://schemas.microsoft.com/office/drawing/2014/main" id="{5C44AE29-BE56-4B13-B092-96C8486F8D6D}"/>
                  </a:ext>
                </a:extLst>
              </xdr:cNvPr>
              <xdr:cNvSpPr/>
            </xdr:nvSpPr>
            <xdr:spPr>
              <a:xfrm>
                <a:off x="565" y="399"/>
                <a:ext cx="19" cy="17"/>
              </a:xfrm>
              <a:prstGeom prst="rect">
                <a:avLst/>
              </a:prstGeom>
              <a:solidFill>
                <a:srgbClr val="00FF00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</xdr:grpSp>
      </xdr:grpSp>
    </xdr:grp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88"/>
  <sheetViews>
    <sheetView tabSelected="1" workbookViewId="0">
      <pane ySplit="2" topLeftCell="A3" activePane="bottomLeft" state="frozen"/>
      <selection pane="bottomLeft" activeCell="A13" sqref="A13:Q13"/>
    </sheetView>
  </sheetViews>
  <sheetFormatPr defaultColWidth="14.42578125" defaultRowHeight="15" customHeight="1" x14ac:dyDescent="0.2"/>
  <cols>
    <col min="1" max="1" width="9.140625" customWidth="1"/>
    <col min="2" max="2" width="6" customWidth="1"/>
    <col min="3" max="3" width="10.5703125" customWidth="1"/>
    <col min="4" max="5" width="9" customWidth="1"/>
    <col min="6" max="6" width="13.140625" customWidth="1"/>
    <col min="7" max="8" width="8.7109375" customWidth="1"/>
    <col min="9" max="11" width="9" customWidth="1"/>
    <col min="12" max="14" width="6.7109375" customWidth="1"/>
    <col min="15" max="15" width="13.28515625" customWidth="1"/>
    <col min="16" max="16" width="14.28515625" customWidth="1"/>
    <col min="17" max="17" width="47.28515625" customWidth="1"/>
    <col min="18" max="18" width="17.5703125" customWidth="1"/>
    <col min="19" max="26" width="9.140625" customWidth="1"/>
  </cols>
  <sheetData>
    <row r="1" spans="1:26" ht="15" customHeight="1" x14ac:dyDescent="0.2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26" ht="15" customHeight="1" thickBot="1" x14ac:dyDescent="0.3">
      <c r="A2" s="89" t="s">
        <v>61</v>
      </c>
      <c r="B2" s="89"/>
      <c r="C2" s="89"/>
      <c r="D2" s="89"/>
      <c r="E2" s="89"/>
      <c r="F2" s="89"/>
      <c r="G2" s="62"/>
      <c r="H2" s="62"/>
      <c r="I2" s="62"/>
      <c r="J2" s="62"/>
      <c r="K2" s="62"/>
      <c r="L2" s="62"/>
      <c r="M2" s="62"/>
      <c r="N2" s="62"/>
      <c r="O2" s="43"/>
      <c r="P2" s="43"/>
      <c r="Q2" s="43"/>
    </row>
    <row r="3" spans="1:26" ht="15" customHeight="1" thickBot="1" x14ac:dyDescent="0.25">
      <c r="A3" s="90"/>
      <c r="B3" s="90"/>
      <c r="C3" s="90"/>
      <c r="D3" s="90"/>
      <c r="E3" s="90"/>
      <c r="F3" s="90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26" ht="17.100000000000001" customHeight="1" x14ac:dyDescent="0.2">
      <c r="A4" s="154" t="s">
        <v>107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"/>
      <c r="S4" s="1"/>
      <c r="T4" s="1"/>
      <c r="U4" s="1"/>
      <c r="V4" s="1"/>
      <c r="W4" s="1"/>
      <c r="X4" s="1"/>
      <c r="Y4" s="1"/>
      <c r="Z4" s="1"/>
    </row>
    <row r="5" spans="1:26" ht="50.1" customHeight="1" x14ac:dyDescent="0.2">
      <c r="A5" s="156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"/>
      <c r="S5" s="1"/>
      <c r="T5" s="1"/>
      <c r="U5" s="1"/>
      <c r="V5" s="1"/>
      <c r="W5" s="1"/>
      <c r="X5" s="1"/>
      <c r="Y5" s="1"/>
      <c r="Z5" s="1"/>
    </row>
    <row r="6" spans="1:26" ht="17.100000000000001" customHeight="1" x14ac:dyDescent="0.2">
      <c r="A6" s="154" t="s">
        <v>108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"/>
      <c r="S6" s="1"/>
      <c r="T6" s="1"/>
      <c r="U6" s="1"/>
      <c r="V6" s="1"/>
      <c r="W6" s="1"/>
      <c r="X6" s="1"/>
      <c r="Y6" s="1"/>
      <c r="Z6" s="1"/>
    </row>
    <row r="7" spans="1:26" ht="50.1" customHeight="1" x14ac:dyDescent="0.2">
      <c r="A7" s="157"/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"/>
      <c r="S7" s="1"/>
      <c r="T7" s="1"/>
      <c r="U7" s="1"/>
      <c r="V7" s="1"/>
      <c r="W7" s="1"/>
      <c r="X7" s="1"/>
      <c r="Y7" s="1"/>
      <c r="Z7" s="1"/>
    </row>
    <row r="8" spans="1:26" ht="17.100000000000001" customHeight="1" x14ac:dyDescent="0.2">
      <c r="A8" s="158" t="s">
        <v>50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"/>
      <c r="S8" s="1"/>
      <c r="T8" s="1"/>
      <c r="U8" s="1"/>
      <c r="V8" s="1"/>
      <c r="W8" s="1"/>
      <c r="X8" s="1"/>
      <c r="Y8" s="1"/>
      <c r="Z8" s="1"/>
    </row>
    <row r="9" spans="1:26" ht="50.1" customHeight="1" x14ac:dyDescent="0.2">
      <c r="A9" s="157"/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"/>
      <c r="S9" s="1"/>
      <c r="T9" s="1"/>
      <c r="U9" s="1"/>
      <c r="V9" s="1"/>
      <c r="W9" s="1"/>
      <c r="X9" s="1"/>
      <c r="Y9" s="1"/>
      <c r="Z9" s="1"/>
    </row>
    <row r="10" spans="1:26" ht="17.100000000000001" customHeight="1" x14ac:dyDescent="0.2">
      <c r="A10" s="158" t="s">
        <v>51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"/>
      <c r="S10" s="1"/>
      <c r="T10" s="1"/>
      <c r="U10" s="1"/>
      <c r="V10" s="1"/>
      <c r="W10" s="1"/>
      <c r="X10" s="1"/>
      <c r="Y10" s="1"/>
      <c r="Z10" s="1"/>
    </row>
    <row r="11" spans="1:26" ht="50.1" customHeight="1" x14ac:dyDescent="0.2">
      <c r="A11" s="157"/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"/>
      <c r="S11" s="1"/>
      <c r="T11" s="1"/>
      <c r="U11" s="1"/>
      <c r="V11" s="1"/>
      <c r="W11" s="1"/>
      <c r="X11" s="1"/>
      <c r="Y11" s="1"/>
      <c r="Z11" s="1"/>
    </row>
    <row r="12" spans="1:26" ht="17.100000000000001" customHeight="1" x14ac:dyDescent="0.2">
      <c r="A12" s="158" t="s">
        <v>52</v>
      </c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"/>
      <c r="S12" s="1"/>
      <c r="T12" s="1"/>
      <c r="U12" s="1"/>
      <c r="V12" s="1"/>
      <c r="W12" s="1"/>
      <c r="X12" s="1"/>
      <c r="Y12" s="1"/>
      <c r="Z12" s="1"/>
    </row>
    <row r="13" spans="1:26" ht="50.1" customHeight="1" x14ac:dyDescent="0.2">
      <c r="A13" s="157"/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4"/>
      <c r="S13" s="4"/>
      <c r="T13" s="4"/>
      <c r="U13" s="4"/>
      <c r="V13" s="4"/>
      <c r="W13" s="4"/>
      <c r="X13" s="4"/>
      <c r="Y13" s="4"/>
      <c r="Z13" s="4"/>
    </row>
    <row r="14" spans="1:26" ht="60.75" customHeight="1" x14ac:dyDescent="0.2">
      <c r="A14" s="14"/>
      <c r="B14" s="14" t="s">
        <v>16</v>
      </c>
      <c r="C14" s="91" t="s">
        <v>17</v>
      </c>
      <c r="D14" s="92"/>
      <c r="E14" s="92"/>
      <c r="F14" s="78"/>
      <c r="G14" s="116" t="s">
        <v>0</v>
      </c>
      <c r="H14" s="78"/>
      <c r="I14" s="116" t="s">
        <v>54</v>
      </c>
      <c r="J14" s="92"/>
      <c r="K14" s="78"/>
      <c r="L14" s="116" t="s">
        <v>53</v>
      </c>
      <c r="M14" s="92"/>
      <c r="N14" s="78"/>
      <c r="O14" s="61" t="s">
        <v>109</v>
      </c>
      <c r="P14" s="118" t="s">
        <v>6</v>
      </c>
      <c r="Q14" s="78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27" customHeight="1" x14ac:dyDescent="0.2">
      <c r="A15" s="16"/>
      <c r="B15" s="17" t="s">
        <v>18</v>
      </c>
      <c r="C15" s="97" t="s">
        <v>55</v>
      </c>
      <c r="D15" s="98"/>
      <c r="E15" s="98"/>
      <c r="F15" s="99"/>
      <c r="G15" s="103"/>
      <c r="H15" s="78"/>
      <c r="I15" s="96"/>
      <c r="J15" s="92"/>
      <c r="K15" s="78"/>
      <c r="L15" s="96"/>
      <c r="M15" s="92"/>
      <c r="N15" s="78"/>
      <c r="O15" s="18"/>
      <c r="P15" s="96"/>
      <c r="Q15" s="78"/>
      <c r="R15" s="1"/>
      <c r="S15" s="1"/>
      <c r="T15" s="1"/>
      <c r="U15" s="1"/>
      <c r="V15" s="1"/>
      <c r="W15" s="1"/>
      <c r="X15" s="1"/>
      <c r="Y15" s="1"/>
      <c r="Z15" s="1"/>
    </row>
    <row r="16" spans="1:26" ht="35.25" customHeight="1" x14ac:dyDescent="0.2">
      <c r="A16" s="16"/>
      <c r="B16" s="19" t="s">
        <v>7</v>
      </c>
      <c r="C16" s="63"/>
      <c r="D16" s="64"/>
      <c r="E16" s="64"/>
      <c r="F16" s="65"/>
      <c r="G16" s="66"/>
      <c r="H16" s="95"/>
      <c r="I16" s="67"/>
      <c r="J16" s="64"/>
      <c r="K16" s="65"/>
      <c r="L16" s="67"/>
      <c r="M16" s="64"/>
      <c r="N16" s="65"/>
      <c r="O16" s="41"/>
      <c r="P16" s="69"/>
      <c r="Q16" s="65"/>
      <c r="R16" s="1"/>
      <c r="S16" s="1"/>
      <c r="T16" s="1"/>
      <c r="U16" s="1"/>
      <c r="V16" s="1"/>
      <c r="W16" s="1"/>
      <c r="X16" s="1"/>
      <c r="Y16" s="1"/>
      <c r="Z16" s="1"/>
    </row>
    <row r="17" spans="1:26" ht="27" customHeight="1" x14ac:dyDescent="0.2">
      <c r="A17" s="16"/>
      <c r="B17" s="19" t="s">
        <v>19</v>
      </c>
      <c r="C17" s="93"/>
      <c r="D17" s="64"/>
      <c r="E17" s="64"/>
      <c r="F17" s="65"/>
      <c r="G17" s="66"/>
      <c r="H17" s="95"/>
      <c r="I17" s="94"/>
      <c r="J17" s="64"/>
      <c r="K17" s="65"/>
      <c r="L17" s="94"/>
      <c r="M17" s="64"/>
      <c r="N17" s="65"/>
      <c r="O17" s="41"/>
      <c r="P17" s="69"/>
      <c r="Q17" s="65"/>
      <c r="R17" s="1"/>
      <c r="S17" s="1"/>
      <c r="T17" s="1"/>
      <c r="U17" s="1"/>
      <c r="V17" s="1"/>
      <c r="W17" s="1"/>
      <c r="X17" s="1"/>
      <c r="Y17" s="1"/>
      <c r="Z17" s="1"/>
    </row>
    <row r="18" spans="1:26" ht="27" customHeight="1" x14ac:dyDescent="0.2">
      <c r="A18" s="16"/>
      <c r="B18" s="19" t="s">
        <v>20</v>
      </c>
      <c r="C18" s="93"/>
      <c r="D18" s="64"/>
      <c r="E18" s="64"/>
      <c r="F18" s="65"/>
      <c r="G18" s="66"/>
      <c r="H18" s="95"/>
      <c r="I18" s="94"/>
      <c r="J18" s="64"/>
      <c r="K18" s="65"/>
      <c r="L18" s="67"/>
      <c r="M18" s="64"/>
      <c r="N18" s="65"/>
      <c r="O18" s="41"/>
      <c r="P18" s="69"/>
      <c r="Q18" s="65"/>
      <c r="R18" s="1"/>
      <c r="S18" s="1"/>
      <c r="T18" s="1"/>
      <c r="U18" s="1"/>
      <c r="V18" s="1"/>
      <c r="W18" s="1"/>
      <c r="X18" s="1"/>
      <c r="Y18" s="1"/>
      <c r="Z18" s="1"/>
    </row>
    <row r="19" spans="1:26" ht="27" customHeight="1" x14ac:dyDescent="0.2">
      <c r="A19" s="16"/>
      <c r="B19" s="17" t="s">
        <v>21</v>
      </c>
      <c r="C19" s="100" t="s">
        <v>56</v>
      </c>
      <c r="D19" s="101"/>
      <c r="E19" s="101"/>
      <c r="F19" s="102"/>
      <c r="G19" s="103"/>
      <c r="H19" s="78"/>
      <c r="I19" s="96"/>
      <c r="J19" s="92"/>
      <c r="K19" s="78"/>
      <c r="L19" s="96"/>
      <c r="M19" s="92"/>
      <c r="N19" s="78"/>
      <c r="O19" s="16"/>
      <c r="P19" s="96"/>
      <c r="Q19" s="78"/>
      <c r="R19" s="1"/>
      <c r="S19" s="1"/>
      <c r="T19" s="1"/>
      <c r="U19" s="1"/>
      <c r="V19" s="1"/>
      <c r="W19" s="1"/>
      <c r="X19" s="1"/>
      <c r="Y19" s="1"/>
      <c r="Z19" s="1"/>
    </row>
    <row r="20" spans="1:26" ht="27" customHeight="1" x14ac:dyDescent="0.2">
      <c r="A20" s="16"/>
      <c r="B20" s="20" t="s">
        <v>15</v>
      </c>
      <c r="C20" s="63"/>
      <c r="D20" s="64"/>
      <c r="E20" s="64"/>
      <c r="F20" s="65"/>
      <c r="G20" s="66"/>
      <c r="H20" s="65"/>
      <c r="I20" s="67"/>
      <c r="J20" s="64"/>
      <c r="K20" s="65"/>
      <c r="L20" s="87"/>
      <c r="M20" s="64"/>
      <c r="N20" s="65"/>
      <c r="O20" s="42"/>
      <c r="P20" s="69"/>
      <c r="Q20" s="65"/>
      <c r="R20" s="1"/>
      <c r="S20" s="1"/>
      <c r="T20" s="1"/>
      <c r="U20" s="1"/>
      <c r="V20" s="1"/>
      <c r="W20" s="1"/>
      <c r="X20" s="1"/>
      <c r="Y20" s="1"/>
      <c r="Z20" s="1"/>
    </row>
    <row r="21" spans="1:26" ht="27" customHeight="1" x14ac:dyDescent="0.2">
      <c r="A21" s="16"/>
      <c r="B21" s="20" t="s">
        <v>22</v>
      </c>
      <c r="C21" s="63"/>
      <c r="D21" s="64"/>
      <c r="E21" s="64"/>
      <c r="F21" s="65"/>
      <c r="G21" s="66"/>
      <c r="H21" s="65"/>
      <c r="I21" s="67"/>
      <c r="J21" s="64"/>
      <c r="K21" s="65"/>
      <c r="L21" s="67"/>
      <c r="M21" s="64"/>
      <c r="N21" s="65"/>
      <c r="O21" s="41"/>
      <c r="P21" s="69"/>
      <c r="Q21" s="65"/>
      <c r="R21" s="21"/>
      <c r="S21" s="1"/>
      <c r="T21" s="1"/>
      <c r="U21" s="1"/>
      <c r="V21" s="1"/>
      <c r="W21" s="1"/>
      <c r="X21" s="1"/>
      <c r="Y21" s="1"/>
      <c r="Z21" s="1"/>
    </row>
    <row r="22" spans="1:26" ht="27" customHeight="1" x14ac:dyDescent="0.2">
      <c r="A22" s="16"/>
      <c r="B22" s="20" t="s">
        <v>23</v>
      </c>
      <c r="C22" s="63"/>
      <c r="D22" s="64"/>
      <c r="E22" s="64"/>
      <c r="F22" s="65"/>
      <c r="G22" s="66"/>
      <c r="H22" s="65"/>
      <c r="I22" s="67"/>
      <c r="J22" s="64"/>
      <c r="K22" s="65"/>
      <c r="L22" s="67"/>
      <c r="M22" s="64"/>
      <c r="N22" s="65"/>
      <c r="O22" s="41"/>
      <c r="P22" s="69"/>
      <c r="Q22" s="65"/>
      <c r="R22" s="1"/>
      <c r="S22" s="1"/>
      <c r="T22" s="1"/>
      <c r="U22" s="1"/>
      <c r="V22" s="1"/>
      <c r="W22" s="1"/>
      <c r="X22" s="1"/>
      <c r="Y22" s="1"/>
      <c r="Z22" s="1"/>
    </row>
    <row r="23" spans="1:26" ht="27" customHeight="1" x14ac:dyDescent="0.2">
      <c r="A23" s="16"/>
      <c r="B23" s="17" t="s">
        <v>24</v>
      </c>
      <c r="C23" s="105" t="s">
        <v>57</v>
      </c>
      <c r="D23" s="92"/>
      <c r="E23" s="92"/>
      <c r="F23" s="78"/>
      <c r="G23" s="103"/>
      <c r="H23" s="78"/>
      <c r="I23" s="117"/>
      <c r="J23" s="92"/>
      <c r="K23" s="78"/>
      <c r="L23" s="117"/>
      <c r="M23" s="92"/>
      <c r="N23" s="78"/>
      <c r="O23" s="16"/>
      <c r="P23" s="77"/>
      <c r="Q23" s="78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27" customHeight="1" x14ac:dyDescent="0.2">
      <c r="A24" s="16"/>
      <c r="B24" s="20" t="s">
        <v>25</v>
      </c>
      <c r="C24" s="63"/>
      <c r="D24" s="64"/>
      <c r="E24" s="64"/>
      <c r="F24" s="65"/>
      <c r="G24" s="66"/>
      <c r="H24" s="65"/>
      <c r="I24" s="124"/>
      <c r="J24" s="64"/>
      <c r="K24" s="65"/>
      <c r="L24" s="68"/>
      <c r="M24" s="64"/>
      <c r="N24" s="65"/>
      <c r="O24" s="41"/>
      <c r="P24" s="69"/>
      <c r="Q24" s="65"/>
      <c r="R24" s="22"/>
      <c r="S24" s="22"/>
      <c r="T24" s="22"/>
      <c r="U24" s="22"/>
      <c r="V24" s="22"/>
      <c r="W24" s="22"/>
      <c r="X24" s="22"/>
      <c r="Y24" s="22"/>
      <c r="Z24" s="22"/>
    </row>
    <row r="25" spans="1:26" ht="27" customHeight="1" x14ac:dyDescent="0.2">
      <c r="A25" s="16"/>
      <c r="B25" s="20" t="s">
        <v>26</v>
      </c>
      <c r="C25" s="112"/>
      <c r="D25" s="113"/>
      <c r="E25" s="113"/>
      <c r="F25" s="114"/>
      <c r="G25" s="66"/>
      <c r="H25" s="65"/>
      <c r="I25" s="124"/>
      <c r="J25" s="64"/>
      <c r="K25" s="65"/>
      <c r="L25" s="68"/>
      <c r="M25" s="64"/>
      <c r="N25" s="65"/>
      <c r="O25" s="41"/>
      <c r="P25" s="69"/>
      <c r="Q25" s="65"/>
      <c r="R25" s="22"/>
      <c r="S25" s="22"/>
      <c r="T25" s="22"/>
      <c r="U25" s="22"/>
      <c r="V25" s="22"/>
      <c r="W25" s="22"/>
      <c r="X25" s="22"/>
      <c r="Y25" s="22"/>
      <c r="Z25" s="22"/>
    </row>
    <row r="26" spans="1:26" ht="27" customHeight="1" x14ac:dyDescent="0.2">
      <c r="A26" s="16"/>
      <c r="B26" s="20" t="s">
        <v>27</v>
      </c>
      <c r="C26" s="63"/>
      <c r="D26" s="64"/>
      <c r="E26" s="64"/>
      <c r="F26" s="65"/>
      <c r="G26" s="66"/>
      <c r="H26" s="65"/>
      <c r="I26" s="124"/>
      <c r="J26" s="64"/>
      <c r="K26" s="65"/>
      <c r="L26" s="68"/>
      <c r="M26" s="64"/>
      <c r="N26" s="65"/>
      <c r="O26" s="41"/>
      <c r="P26" s="69"/>
      <c r="Q26" s="65"/>
      <c r="R26" s="22"/>
      <c r="S26" s="22"/>
      <c r="T26" s="22"/>
      <c r="U26" s="22"/>
      <c r="V26" s="22"/>
      <c r="W26" s="22"/>
      <c r="X26" s="22"/>
      <c r="Y26" s="22"/>
      <c r="Z26" s="22"/>
    </row>
    <row r="27" spans="1:26" ht="27" customHeight="1" x14ac:dyDescent="0.2">
      <c r="A27" s="16"/>
      <c r="B27" s="17" t="s">
        <v>28</v>
      </c>
      <c r="C27" s="105" t="s">
        <v>58</v>
      </c>
      <c r="D27" s="92"/>
      <c r="E27" s="92"/>
      <c r="F27" s="78"/>
      <c r="G27" s="103"/>
      <c r="H27" s="78"/>
      <c r="I27" s="96"/>
      <c r="J27" s="92"/>
      <c r="K27" s="78"/>
      <c r="L27" s="117"/>
      <c r="M27" s="92"/>
      <c r="N27" s="78"/>
      <c r="O27" s="16"/>
      <c r="P27" s="77"/>
      <c r="Q27" s="78"/>
      <c r="R27" s="1"/>
      <c r="S27" s="1"/>
      <c r="T27" s="1"/>
      <c r="U27" s="1"/>
      <c r="V27" s="1"/>
      <c r="W27" s="1"/>
      <c r="X27" s="1"/>
      <c r="Y27" s="1"/>
      <c r="Z27" s="1"/>
    </row>
    <row r="28" spans="1:26" ht="27" customHeight="1" x14ac:dyDescent="0.2">
      <c r="A28" s="28"/>
      <c r="B28" s="24" t="s">
        <v>40</v>
      </c>
      <c r="C28" s="107"/>
      <c r="D28" s="108"/>
      <c r="E28" s="108"/>
      <c r="F28" s="109"/>
      <c r="G28" s="110"/>
      <c r="H28" s="111"/>
      <c r="I28" s="122"/>
      <c r="J28" s="125"/>
      <c r="K28" s="123"/>
      <c r="L28" s="126"/>
      <c r="M28" s="127"/>
      <c r="N28" s="128"/>
      <c r="O28" s="41"/>
      <c r="P28" s="122"/>
      <c r="Q28" s="123"/>
      <c r="R28" s="1"/>
      <c r="S28" s="1"/>
      <c r="T28" s="1"/>
      <c r="U28" s="1"/>
      <c r="V28" s="1"/>
      <c r="W28" s="1"/>
      <c r="X28" s="1"/>
      <c r="Y28" s="1"/>
      <c r="Z28" s="1"/>
    </row>
    <row r="29" spans="1:26" ht="27" customHeight="1" x14ac:dyDescent="0.2">
      <c r="A29" s="28"/>
      <c r="B29" s="24" t="s">
        <v>59</v>
      </c>
      <c r="C29" s="30"/>
      <c r="D29" s="31"/>
      <c r="E29" s="31"/>
      <c r="F29" s="32"/>
      <c r="G29" s="33"/>
      <c r="H29" s="34"/>
      <c r="I29" s="35"/>
      <c r="J29" s="37"/>
      <c r="K29" s="36"/>
      <c r="L29" s="38"/>
      <c r="M29" s="39"/>
      <c r="N29" s="40"/>
      <c r="O29" s="41"/>
      <c r="P29" s="35"/>
      <c r="Q29" s="36"/>
      <c r="R29" s="1"/>
      <c r="S29" s="1"/>
      <c r="T29" s="1"/>
      <c r="U29" s="1"/>
      <c r="V29" s="1"/>
      <c r="W29" s="1"/>
      <c r="X29" s="1"/>
      <c r="Y29" s="1"/>
      <c r="Z29" s="1"/>
    </row>
    <row r="30" spans="1:26" ht="27" customHeight="1" x14ac:dyDescent="0.2">
      <c r="A30" s="28"/>
      <c r="B30" s="24" t="s">
        <v>60</v>
      </c>
      <c r="C30" s="30"/>
      <c r="D30" s="31"/>
      <c r="E30" s="31"/>
      <c r="F30" s="32"/>
      <c r="G30" s="33"/>
      <c r="H30" s="34"/>
      <c r="I30" s="35"/>
      <c r="J30" s="37"/>
      <c r="K30" s="36"/>
      <c r="L30" s="38"/>
      <c r="M30" s="39"/>
      <c r="N30" s="40"/>
      <c r="O30" s="41"/>
      <c r="P30" s="35"/>
      <c r="Q30" s="36"/>
      <c r="R30" s="1"/>
      <c r="S30" s="1"/>
      <c r="T30" s="1"/>
      <c r="U30" s="1"/>
      <c r="V30" s="1"/>
      <c r="W30" s="1"/>
      <c r="X30" s="1"/>
      <c r="Y30" s="1"/>
      <c r="Z30" s="1"/>
    </row>
    <row r="31" spans="1:26" ht="27" customHeight="1" x14ac:dyDescent="0.2">
      <c r="A31" s="16"/>
      <c r="B31" s="17" t="s">
        <v>29</v>
      </c>
      <c r="C31" s="105" t="s">
        <v>64</v>
      </c>
      <c r="D31" s="92"/>
      <c r="E31" s="92"/>
      <c r="F31" s="78"/>
      <c r="G31" s="103"/>
      <c r="H31" s="78"/>
      <c r="I31" s="117"/>
      <c r="J31" s="92"/>
      <c r="K31" s="78"/>
      <c r="L31" s="117"/>
      <c r="M31" s="92"/>
      <c r="N31" s="78"/>
      <c r="O31" s="16"/>
      <c r="P31" s="77"/>
      <c r="Q31" s="78"/>
      <c r="R31" s="1"/>
      <c r="S31" s="1"/>
      <c r="T31" s="1"/>
      <c r="U31" s="1"/>
      <c r="V31" s="1"/>
      <c r="W31" s="1"/>
      <c r="X31" s="1"/>
      <c r="Y31" s="1"/>
      <c r="Z31" s="1"/>
    </row>
    <row r="32" spans="1:26" ht="27" customHeight="1" x14ac:dyDescent="0.2">
      <c r="A32" s="16"/>
      <c r="B32" s="20" t="s">
        <v>30</v>
      </c>
      <c r="C32" s="63"/>
      <c r="D32" s="64"/>
      <c r="E32" s="64"/>
      <c r="F32" s="65"/>
      <c r="G32" s="66"/>
      <c r="H32" s="65"/>
      <c r="I32" s="67"/>
      <c r="J32" s="64"/>
      <c r="K32" s="65"/>
      <c r="L32" s="68"/>
      <c r="M32" s="64"/>
      <c r="N32" s="65"/>
      <c r="O32" s="41"/>
      <c r="P32" s="69"/>
      <c r="Q32" s="65"/>
      <c r="R32" s="1"/>
      <c r="S32" s="1"/>
      <c r="T32" s="1"/>
      <c r="U32" s="1"/>
      <c r="V32" s="1"/>
      <c r="W32" s="1"/>
      <c r="X32" s="1"/>
      <c r="Y32" s="1"/>
      <c r="Z32" s="1"/>
    </row>
    <row r="33" spans="1:26" ht="27" customHeight="1" x14ac:dyDescent="0.2">
      <c r="A33" s="16"/>
      <c r="B33" s="29" t="s">
        <v>62</v>
      </c>
      <c r="C33" s="63"/>
      <c r="D33" s="64"/>
      <c r="E33" s="64"/>
      <c r="F33" s="65"/>
      <c r="G33" s="66"/>
      <c r="H33" s="65"/>
      <c r="I33" s="67"/>
      <c r="J33" s="64"/>
      <c r="K33" s="65"/>
      <c r="L33" s="68"/>
      <c r="M33" s="64"/>
      <c r="N33" s="65"/>
      <c r="O33" s="41"/>
      <c r="P33" s="69"/>
      <c r="Q33" s="65"/>
      <c r="R33" s="1"/>
      <c r="S33" s="1"/>
      <c r="T33" s="1"/>
      <c r="U33" s="1"/>
      <c r="V33" s="1"/>
      <c r="W33" s="1"/>
      <c r="X33" s="1"/>
      <c r="Y33" s="1"/>
      <c r="Z33" s="1"/>
    </row>
    <row r="34" spans="1:26" ht="27" customHeight="1" x14ac:dyDescent="0.2">
      <c r="A34" s="58"/>
      <c r="B34" s="52" t="s">
        <v>63</v>
      </c>
      <c r="C34" s="70"/>
      <c r="D34" s="71"/>
      <c r="E34" s="71"/>
      <c r="F34" s="72"/>
      <c r="G34" s="73"/>
      <c r="H34" s="72"/>
      <c r="I34" s="74"/>
      <c r="J34" s="71"/>
      <c r="K34" s="72"/>
      <c r="L34" s="75"/>
      <c r="M34" s="71"/>
      <c r="N34" s="72"/>
      <c r="O34" s="53"/>
      <c r="P34" s="76"/>
      <c r="Q34" s="72"/>
      <c r="R34" s="1"/>
      <c r="S34" s="1"/>
      <c r="T34" s="1"/>
      <c r="U34" s="1"/>
      <c r="V34" s="1"/>
      <c r="W34" s="1"/>
      <c r="X34" s="1"/>
      <c r="Y34" s="1"/>
      <c r="Z34" s="1"/>
    </row>
    <row r="35" spans="1:26" ht="27" customHeight="1" x14ac:dyDescent="0.2">
      <c r="A35" s="57"/>
      <c r="B35" s="56" t="s">
        <v>31</v>
      </c>
      <c r="C35" s="106" t="s">
        <v>32</v>
      </c>
      <c r="D35" s="83"/>
      <c r="E35" s="83"/>
      <c r="F35" s="83"/>
      <c r="G35" s="115"/>
      <c r="H35" s="83"/>
      <c r="I35" s="121"/>
      <c r="J35" s="83"/>
      <c r="K35" s="83"/>
      <c r="L35" s="121"/>
      <c r="M35" s="83"/>
      <c r="N35" s="83"/>
      <c r="O35" s="57"/>
      <c r="P35" s="82"/>
      <c r="Q35" s="83"/>
      <c r="R35" s="1"/>
      <c r="S35" s="1"/>
      <c r="T35" s="1"/>
      <c r="U35" s="1"/>
      <c r="V35" s="1"/>
      <c r="W35" s="1"/>
      <c r="X35" s="1"/>
      <c r="Y35" s="1"/>
      <c r="Z35" s="1"/>
    </row>
    <row r="36" spans="1:26" ht="46.5" customHeight="1" x14ac:dyDescent="0.2">
      <c r="A36" s="59"/>
      <c r="B36" s="54" t="s">
        <v>33</v>
      </c>
      <c r="C36" s="104"/>
      <c r="D36" s="85"/>
      <c r="E36" s="85"/>
      <c r="F36" s="86"/>
      <c r="G36" s="119"/>
      <c r="H36" s="86"/>
      <c r="I36" s="84"/>
      <c r="J36" s="85"/>
      <c r="K36" s="86"/>
      <c r="L36" s="120"/>
      <c r="M36" s="85"/>
      <c r="N36" s="86"/>
      <c r="O36" s="55"/>
      <c r="P36" s="79"/>
      <c r="Q36" s="80"/>
      <c r="R36" s="1"/>
      <c r="S36" s="1"/>
      <c r="T36" s="1"/>
      <c r="U36" s="1"/>
      <c r="V36" s="1"/>
      <c r="W36" s="1"/>
      <c r="X36" s="1"/>
      <c r="Y36" s="1"/>
      <c r="Z36" s="1"/>
    </row>
    <row r="37" spans="1:26" ht="24.95" customHeight="1" x14ac:dyDescent="0.2">
      <c r="A37" s="25"/>
      <c r="B37" s="20" t="s">
        <v>34</v>
      </c>
      <c r="C37" s="63"/>
      <c r="D37" s="64"/>
      <c r="E37" s="64"/>
      <c r="F37" s="65"/>
      <c r="G37" s="66"/>
      <c r="H37" s="65"/>
      <c r="I37" s="88"/>
      <c r="J37" s="64"/>
      <c r="K37" s="65"/>
      <c r="L37" s="68"/>
      <c r="M37" s="64"/>
      <c r="N37" s="65"/>
      <c r="O37" s="41"/>
      <c r="P37" s="69"/>
      <c r="Q37" s="81"/>
      <c r="R37" s="1"/>
      <c r="S37" s="1"/>
      <c r="T37" s="1"/>
      <c r="U37" s="1"/>
      <c r="V37" s="1"/>
      <c r="W37" s="1"/>
      <c r="X37" s="1"/>
      <c r="Y37" s="1"/>
      <c r="Z37" s="1"/>
    </row>
    <row r="38" spans="1:26" ht="24.95" customHeight="1" x14ac:dyDescent="0.2">
      <c r="A38" s="25"/>
      <c r="B38" s="20" t="s">
        <v>35</v>
      </c>
      <c r="C38" s="63"/>
      <c r="D38" s="64"/>
      <c r="E38" s="64"/>
      <c r="F38" s="65"/>
      <c r="G38" s="66"/>
      <c r="H38" s="65"/>
      <c r="I38" s="88"/>
      <c r="J38" s="64"/>
      <c r="K38" s="65"/>
      <c r="L38" s="68"/>
      <c r="M38" s="64"/>
      <c r="N38" s="65"/>
      <c r="O38" s="41"/>
      <c r="P38" s="69"/>
      <c r="Q38" s="8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">
      <c r="A39" s="44"/>
      <c r="B39" s="45"/>
      <c r="C39" s="46"/>
      <c r="D39" s="46"/>
      <c r="E39" s="46"/>
      <c r="F39" s="46"/>
      <c r="G39" s="47"/>
      <c r="H39" s="47"/>
      <c r="I39" s="48"/>
      <c r="J39" s="48"/>
      <c r="K39" s="48"/>
      <c r="L39" s="49"/>
      <c r="M39" s="49"/>
      <c r="N39" s="49"/>
      <c r="O39" s="44"/>
      <c r="P39" s="50"/>
      <c r="Q39" s="50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44"/>
      <c r="B40" s="45"/>
      <c r="C40" s="46"/>
      <c r="D40" s="46"/>
      <c r="E40" s="46"/>
      <c r="F40" s="46"/>
      <c r="G40" s="47"/>
      <c r="H40" s="47"/>
      <c r="I40" s="48"/>
      <c r="J40" s="48"/>
      <c r="K40" s="48"/>
      <c r="L40" s="49"/>
      <c r="M40" s="49"/>
      <c r="N40" s="49"/>
      <c r="O40" s="44"/>
      <c r="P40" s="50"/>
      <c r="Q40" s="50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">
      <c r="A41" s="44"/>
      <c r="B41" s="44"/>
      <c r="C41" s="44"/>
      <c r="D41" s="44"/>
      <c r="E41" s="44"/>
      <c r="F41" s="44"/>
      <c r="G41" s="51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">
      <c r="A42" s="44"/>
      <c r="B42" s="44"/>
      <c r="C42" s="44"/>
      <c r="D42" s="44"/>
      <c r="E42" s="44"/>
      <c r="F42" s="44"/>
      <c r="G42" s="51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">
      <c r="A43" s="44"/>
      <c r="B43" s="44"/>
      <c r="C43" s="44"/>
      <c r="D43" s="44"/>
      <c r="E43" s="44"/>
      <c r="F43" s="44"/>
      <c r="G43" s="51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">
      <c r="A44" s="44"/>
      <c r="B44" s="44"/>
      <c r="C44" s="44"/>
      <c r="D44" s="44"/>
      <c r="E44" s="44"/>
      <c r="F44" s="44"/>
      <c r="G44" s="51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">
      <c r="A45" s="44"/>
      <c r="B45" s="44"/>
      <c r="C45" s="44"/>
      <c r="D45" s="44"/>
      <c r="E45" s="44"/>
      <c r="F45" s="44"/>
      <c r="G45" s="51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">
      <c r="A46" s="44"/>
      <c r="B46" s="44"/>
      <c r="C46" s="44"/>
      <c r="D46" s="44"/>
      <c r="E46" s="44"/>
      <c r="F46" s="44"/>
      <c r="G46" s="51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">
      <c r="A47" s="44"/>
      <c r="B47" s="44"/>
      <c r="C47" s="44"/>
      <c r="D47" s="44"/>
      <c r="E47" s="44"/>
      <c r="F47" s="44"/>
      <c r="G47" s="51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">
      <c r="A48" s="44"/>
      <c r="B48" s="44"/>
      <c r="C48" s="44"/>
      <c r="D48" s="44"/>
      <c r="E48" s="44"/>
      <c r="F48" s="44"/>
      <c r="G48" s="51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">
      <c r="A49" s="44"/>
      <c r="B49" s="44"/>
      <c r="C49" s="44"/>
      <c r="D49" s="44"/>
      <c r="E49" s="44"/>
      <c r="F49" s="44"/>
      <c r="G49" s="51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">
      <c r="A50" s="44"/>
      <c r="B50" s="44"/>
      <c r="C50" s="44"/>
      <c r="D50" s="44"/>
      <c r="E50" s="44"/>
      <c r="F50" s="44"/>
      <c r="G50" s="51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">
      <c r="A51" s="44"/>
      <c r="B51" s="44"/>
      <c r="C51" s="44"/>
      <c r="D51" s="44"/>
      <c r="E51" s="44"/>
      <c r="F51" s="44"/>
      <c r="G51" s="51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">
      <c r="A52" s="44"/>
      <c r="B52" s="44"/>
      <c r="C52" s="44"/>
      <c r="D52" s="44"/>
      <c r="E52" s="44"/>
      <c r="F52" s="44"/>
      <c r="G52" s="51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">
      <c r="A53" s="44"/>
      <c r="B53" s="44"/>
      <c r="C53" s="44"/>
      <c r="D53" s="44"/>
      <c r="E53" s="44"/>
      <c r="F53" s="44"/>
      <c r="G53" s="51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">
      <c r="A54" s="44"/>
      <c r="B54" s="44"/>
      <c r="C54" s="44"/>
      <c r="D54" s="44"/>
      <c r="E54" s="44"/>
      <c r="F54" s="44"/>
      <c r="G54" s="51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">
      <c r="A55" s="44"/>
      <c r="B55" s="44"/>
      <c r="C55" s="44"/>
      <c r="D55" s="44"/>
      <c r="E55" s="44"/>
      <c r="F55" s="44"/>
      <c r="G55" s="51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">
      <c r="A56" s="44"/>
      <c r="B56" s="44"/>
      <c r="C56" s="44"/>
      <c r="D56" s="44"/>
      <c r="E56" s="44"/>
      <c r="F56" s="44"/>
      <c r="G56" s="51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">
      <c r="A57" s="44"/>
      <c r="B57" s="44"/>
      <c r="C57" s="44"/>
      <c r="D57" s="44"/>
      <c r="E57" s="44"/>
      <c r="F57" s="44"/>
      <c r="G57" s="51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">
      <c r="A58" s="44"/>
      <c r="B58" s="44"/>
      <c r="C58" s="44"/>
      <c r="D58" s="44"/>
      <c r="E58" s="44"/>
      <c r="F58" s="44"/>
      <c r="G58" s="51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">
      <c r="A59" s="44"/>
      <c r="B59" s="44"/>
      <c r="C59" s="44"/>
      <c r="D59" s="44"/>
      <c r="E59" s="44"/>
      <c r="F59" s="44"/>
      <c r="G59" s="51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">
      <c r="A60" s="44"/>
      <c r="B60" s="44"/>
      <c r="C60" s="44"/>
      <c r="D60" s="44"/>
      <c r="E60" s="44"/>
      <c r="F60" s="44"/>
      <c r="G60" s="51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">
      <c r="A61" s="44"/>
      <c r="B61" s="44"/>
      <c r="C61" s="44"/>
      <c r="D61" s="44"/>
      <c r="E61" s="44"/>
      <c r="F61" s="44"/>
      <c r="G61" s="51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">
      <c r="A62" s="44"/>
      <c r="B62" s="44"/>
      <c r="C62" s="44"/>
      <c r="D62" s="44"/>
      <c r="E62" s="44"/>
      <c r="F62" s="44"/>
      <c r="G62" s="51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">
      <c r="A63" s="44"/>
      <c r="B63" s="44"/>
      <c r="C63" s="44"/>
      <c r="D63" s="44"/>
      <c r="E63" s="44"/>
      <c r="F63" s="44"/>
      <c r="G63" s="51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">
      <c r="A64" s="44"/>
      <c r="B64" s="44"/>
      <c r="C64" s="44"/>
      <c r="D64" s="44"/>
      <c r="E64" s="44"/>
      <c r="F64" s="44"/>
      <c r="G64" s="51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">
      <c r="A65" s="44"/>
      <c r="B65" s="44"/>
      <c r="C65" s="44"/>
      <c r="D65" s="44"/>
      <c r="E65" s="44"/>
      <c r="F65" s="44"/>
      <c r="G65" s="51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">
      <c r="A66" s="44"/>
      <c r="B66" s="44"/>
      <c r="C66" s="44"/>
      <c r="D66" s="44"/>
      <c r="E66" s="44"/>
      <c r="F66" s="44"/>
      <c r="G66" s="51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">
      <c r="A67" s="44"/>
      <c r="B67" s="44"/>
      <c r="C67" s="44"/>
      <c r="D67" s="44"/>
      <c r="E67" s="44"/>
      <c r="F67" s="44"/>
      <c r="G67" s="51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">
      <c r="A68" s="44"/>
      <c r="B68" s="44"/>
      <c r="C68" s="44"/>
      <c r="D68" s="44"/>
      <c r="E68" s="44"/>
      <c r="F68" s="44"/>
      <c r="G68" s="51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">
      <c r="A69" s="44"/>
      <c r="B69" s="44"/>
      <c r="C69" s="44"/>
      <c r="D69" s="44"/>
      <c r="E69" s="44"/>
      <c r="F69" s="44"/>
      <c r="G69" s="51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">
      <c r="A70" s="44"/>
      <c r="B70" s="44"/>
      <c r="C70" s="44"/>
      <c r="D70" s="44"/>
      <c r="E70" s="44"/>
      <c r="F70" s="44"/>
      <c r="G70" s="51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">
      <c r="A71" s="44"/>
      <c r="B71" s="44"/>
      <c r="C71" s="44"/>
      <c r="D71" s="44"/>
      <c r="E71" s="44"/>
      <c r="F71" s="44"/>
      <c r="G71" s="51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">
      <c r="A72" s="44"/>
      <c r="B72" s="44"/>
      <c r="C72" s="44"/>
      <c r="D72" s="44"/>
      <c r="E72" s="44"/>
      <c r="F72" s="44"/>
      <c r="G72" s="51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">
      <c r="A73" s="44"/>
      <c r="B73" s="44"/>
      <c r="C73" s="44"/>
      <c r="D73" s="44"/>
      <c r="E73" s="44"/>
      <c r="F73" s="44"/>
      <c r="G73" s="51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">
      <c r="A74" s="44"/>
      <c r="B74" s="44"/>
      <c r="C74" s="44"/>
      <c r="D74" s="44"/>
      <c r="E74" s="44"/>
      <c r="F74" s="44"/>
      <c r="G74" s="51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">
      <c r="A75" s="44"/>
      <c r="B75" s="44"/>
      <c r="C75" s="44"/>
      <c r="D75" s="44"/>
      <c r="E75" s="44"/>
      <c r="F75" s="44"/>
      <c r="G75" s="51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">
      <c r="A76" s="1"/>
      <c r="B76" s="1"/>
      <c r="C76" s="1"/>
      <c r="D76" s="1"/>
      <c r="E76" s="1"/>
      <c r="F76" s="1"/>
      <c r="G76" s="23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">
      <c r="A77" s="1"/>
      <c r="B77" s="1"/>
      <c r="C77" s="1"/>
      <c r="D77" s="1"/>
      <c r="E77" s="1"/>
      <c r="F77" s="1"/>
      <c r="G77" s="23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">
      <c r="A78" s="1"/>
      <c r="B78" s="1"/>
      <c r="C78" s="1"/>
      <c r="D78" s="1"/>
      <c r="E78" s="1"/>
      <c r="F78" s="1"/>
      <c r="G78" s="23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">
      <c r="A79" s="1"/>
      <c r="B79" s="1"/>
      <c r="C79" s="1"/>
      <c r="D79" s="1"/>
      <c r="E79" s="1"/>
      <c r="F79" s="1"/>
      <c r="G79" s="23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">
      <c r="A80" s="1"/>
      <c r="B80" s="1"/>
      <c r="C80" s="1"/>
      <c r="D80" s="1"/>
      <c r="E80" s="1"/>
      <c r="F80" s="1"/>
      <c r="G80" s="23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">
      <c r="A81" s="1"/>
      <c r="B81" s="1"/>
      <c r="C81" s="1"/>
      <c r="D81" s="1"/>
      <c r="E81" s="1"/>
      <c r="F81" s="1"/>
      <c r="G81" s="23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">
      <c r="A82" s="1"/>
      <c r="B82" s="1"/>
      <c r="C82" s="1"/>
      <c r="D82" s="1"/>
      <c r="E82" s="1"/>
      <c r="F82" s="1"/>
      <c r="G82" s="23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">
      <c r="A83" s="1"/>
      <c r="B83" s="1"/>
      <c r="C83" s="1"/>
      <c r="D83" s="1"/>
      <c r="E83" s="1"/>
      <c r="F83" s="1"/>
      <c r="G83" s="23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">
      <c r="A84" s="1"/>
      <c r="B84" s="1"/>
      <c r="C84" s="1"/>
      <c r="D84" s="1"/>
      <c r="E84" s="1"/>
      <c r="F84" s="1"/>
      <c r="G84" s="23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">
      <c r="A85" s="1"/>
      <c r="B85" s="1"/>
      <c r="C85" s="1"/>
      <c r="D85" s="1"/>
      <c r="E85" s="1"/>
      <c r="F85" s="1"/>
      <c r="G85" s="23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">
      <c r="A86" s="1"/>
      <c r="B86" s="1"/>
      <c r="C86" s="1"/>
      <c r="D86" s="1"/>
      <c r="E86" s="1"/>
      <c r="F86" s="1"/>
      <c r="G86" s="23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">
      <c r="A87" s="1"/>
      <c r="B87" s="1"/>
      <c r="C87" s="1"/>
      <c r="D87" s="1"/>
      <c r="E87" s="1"/>
      <c r="F87" s="1"/>
      <c r="G87" s="23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">
      <c r="A88" s="1"/>
      <c r="B88" s="1"/>
      <c r="C88" s="1"/>
      <c r="D88" s="1"/>
      <c r="E88" s="1"/>
      <c r="F88" s="1"/>
      <c r="G88" s="23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">
      <c r="A89" s="1"/>
      <c r="B89" s="1"/>
      <c r="C89" s="1"/>
      <c r="D89" s="1"/>
      <c r="E89" s="1"/>
      <c r="F89" s="1"/>
      <c r="G89" s="23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">
      <c r="A90" s="1"/>
      <c r="B90" s="1"/>
      <c r="C90" s="1"/>
      <c r="D90" s="1"/>
      <c r="E90" s="1"/>
      <c r="F90" s="1"/>
      <c r="G90" s="23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">
      <c r="A91" s="1"/>
      <c r="B91" s="1"/>
      <c r="C91" s="1"/>
      <c r="D91" s="1"/>
      <c r="E91" s="1"/>
      <c r="F91" s="1"/>
      <c r="G91" s="23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">
      <c r="A92" s="1"/>
      <c r="B92" s="1"/>
      <c r="C92" s="1"/>
      <c r="D92" s="1"/>
      <c r="E92" s="1"/>
      <c r="F92" s="1"/>
      <c r="G92" s="23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">
      <c r="A93" s="1"/>
      <c r="B93" s="1"/>
      <c r="C93" s="1"/>
      <c r="D93" s="1"/>
      <c r="E93" s="1"/>
      <c r="F93" s="1"/>
      <c r="G93" s="23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">
      <c r="A94" s="1"/>
      <c r="B94" s="1"/>
      <c r="C94" s="1"/>
      <c r="D94" s="1"/>
      <c r="E94" s="1"/>
      <c r="F94" s="1"/>
      <c r="G94" s="23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">
      <c r="A95" s="1"/>
      <c r="B95" s="1"/>
      <c r="C95" s="1"/>
      <c r="D95" s="1"/>
      <c r="E95" s="1"/>
      <c r="F95" s="1"/>
      <c r="G95" s="23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">
      <c r="A96" s="1"/>
      <c r="B96" s="1"/>
      <c r="C96" s="1"/>
      <c r="D96" s="1"/>
      <c r="E96" s="1"/>
      <c r="F96" s="1"/>
      <c r="G96" s="23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">
      <c r="A97" s="1"/>
      <c r="B97" s="1"/>
      <c r="C97" s="1"/>
      <c r="D97" s="1"/>
      <c r="E97" s="1"/>
      <c r="F97" s="1"/>
      <c r="G97" s="23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">
      <c r="A98" s="1"/>
      <c r="B98" s="1"/>
      <c r="C98" s="1"/>
      <c r="D98" s="1"/>
      <c r="E98" s="1"/>
      <c r="F98" s="1"/>
      <c r="G98" s="23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">
      <c r="A99" s="1"/>
      <c r="B99" s="1"/>
      <c r="C99" s="1"/>
      <c r="D99" s="1"/>
      <c r="E99" s="1"/>
      <c r="F99" s="1"/>
      <c r="G99" s="23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">
      <c r="A100" s="1"/>
      <c r="B100" s="1"/>
      <c r="C100" s="1"/>
      <c r="D100" s="1"/>
      <c r="E100" s="1"/>
      <c r="F100" s="1"/>
      <c r="G100" s="23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">
      <c r="A101" s="1"/>
      <c r="B101" s="1"/>
      <c r="C101" s="1"/>
      <c r="D101" s="1"/>
      <c r="E101" s="1"/>
      <c r="F101" s="1"/>
      <c r="G101" s="23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">
      <c r="A102" s="1"/>
      <c r="B102" s="1"/>
      <c r="C102" s="1"/>
      <c r="D102" s="1"/>
      <c r="E102" s="1"/>
      <c r="F102" s="1"/>
      <c r="G102" s="23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">
      <c r="A103" s="1"/>
      <c r="B103" s="1"/>
      <c r="C103" s="1"/>
      <c r="D103" s="1"/>
      <c r="E103" s="1"/>
      <c r="F103" s="1"/>
      <c r="G103" s="23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">
      <c r="A104" s="1"/>
      <c r="B104" s="1"/>
      <c r="C104" s="1"/>
      <c r="D104" s="1"/>
      <c r="E104" s="1"/>
      <c r="F104" s="1"/>
      <c r="G104" s="23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">
      <c r="A105" s="1"/>
      <c r="B105" s="1"/>
      <c r="C105" s="1"/>
      <c r="D105" s="1"/>
      <c r="E105" s="1"/>
      <c r="F105" s="1"/>
      <c r="G105" s="23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">
      <c r="A106" s="1"/>
      <c r="B106" s="1"/>
      <c r="C106" s="1"/>
      <c r="D106" s="1"/>
      <c r="E106" s="1"/>
      <c r="F106" s="1"/>
      <c r="G106" s="23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">
      <c r="A107" s="1"/>
      <c r="B107" s="1"/>
      <c r="C107" s="1"/>
      <c r="D107" s="1"/>
      <c r="E107" s="1"/>
      <c r="F107" s="1"/>
      <c r="G107" s="23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">
      <c r="A108" s="1"/>
      <c r="B108" s="1"/>
      <c r="C108" s="1"/>
      <c r="D108" s="1"/>
      <c r="E108" s="1"/>
      <c r="F108" s="1"/>
      <c r="G108" s="23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">
      <c r="A109" s="1"/>
      <c r="B109" s="1"/>
      <c r="C109" s="1"/>
      <c r="D109" s="1"/>
      <c r="E109" s="1"/>
      <c r="F109" s="1"/>
      <c r="G109" s="23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">
      <c r="A110" s="1"/>
      <c r="B110" s="1"/>
      <c r="C110" s="1"/>
      <c r="D110" s="1"/>
      <c r="E110" s="1"/>
      <c r="F110" s="1"/>
      <c r="G110" s="23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">
      <c r="A111" s="1"/>
      <c r="B111" s="1"/>
      <c r="C111" s="1"/>
      <c r="D111" s="1"/>
      <c r="E111" s="1"/>
      <c r="F111" s="1"/>
      <c r="G111" s="23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">
      <c r="A112" s="1"/>
      <c r="B112" s="1"/>
      <c r="C112" s="1"/>
      <c r="D112" s="1"/>
      <c r="E112" s="1"/>
      <c r="F112" s="1"/>
      <c r="G112" s="23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">
      <c r="A113" s="1"/>
      <c r="B113" s="1"/>
      <c r="C113" s="1"/>
      <c r="D113" s="1"/>
      <c r="E113" s="1"/>
      <c r="F113" s="1"/>
      <c r="G113" s="23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">
      <c r="A114" s="1"/>
      <c r="B114" s="1"/>
      <c r="C114" s="1"/>
      <c r="D114" s="1"/>
      <c r="E114" s="1"/>
      <c r="F114" s="1"/>
      <c r="G114" s="23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">
      <c r="A115" s="1"/>
      <c r="B115" s="1"/>
      <c r="C115" s="1"/>
      <c r="D115" s="1"/>
      <c r="E115" s="1"/>
      <c r="F115" s="1"/>
      <c r="G115" s="23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">
      <c r="A116" s="1"/>
      <c r="B116" s="1"/>
      <c r="C116" s="1"/>
      <c r="D116" s="1"/>
      <c r="E116" s="1"/>
      <c r="F116" s="1"/>
      <c r="G116" s="23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">
      <c r="A117" s="1"/>
      <c r="B117" s="1"/>
      <c r="C117" s="1"/>
      <c r="D117" s="1"/>
      <c r="E117" s="1"/>
      <c r="F117" s="1"/>
      <c r="G117" s="23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">
      <c r="A118" s="1"/>
      <c r="B118" s="1"/>
      <c r="C118" s="1"/>
      <c r="D118" s="1"/>
      <c r="E118" s="1"/>
      <c r="F118" s="1"/>
      <c r="G118" s="23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">
      <c r="A119" s="1"/>
      <c r="B119" s="1"/>
      <c r="C119" s="1"/>
      <c r="D119" s="1"/>
      <c r="E119" s="1"/>
      <c r="F119" s="1"/>
      <c r="G119" s="23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">
      <c r="A120" s="1"/>
      <c r="B120" s="1"/>
      <c r="C120" s="1"/>
      <c r="D120" s="1"/>
      <c r="E120" s="1"/>
      <c r="F120" s="1"/>
      <c r="G120" s="23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">
      <c r="A121" s="1"/>
      <c r="B121" s="1"/>
      <c r="C121" s="1"/>
      <c r="D121" s="1"/>
      <c r="E121" s="1"/>
      <c r="F121" s="1"/>
      <c r="G121" s="23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">
      <c r="A122" s="1"/>
      <c r="B122" s="1"/>
      <c r="C122" s="1"/>
      <c r="D122" s="1"/>
      <c r="E122" s="1"/>
      <c r="F122" s="1"/>
      <c r="G122" s="23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">
      <c r="A123" s="1"/>
      <c r="B123" s="1"/>
      <c r="C123" s="1"/>
      <c r="D123" s="1"/>
      <c r="E123" s="1"/>
      <c r="F123" s="1"/>
      <c r="G123" s="23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">
      <c r="A124" s="1"/>
      <c r="B124" s="1"/>
      <c r="C124" s="1"/>
      <c r="D124" s="1"/>
      <c r="E124" s="1"/>
      <c r="F124" s="1"/>
      <c r="G124" s="23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">
      <c r="A125" s="1"/>
      <c r="B125" s="1"/>
      <c r="C125" s="1"/>
      <c r="D125" s="1"/>
      <c r="E125" s="1"/>
      <c r="F125" s="1"/>
      <c r="G125" s="23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">
      <c r="A126" s="1"/>
      <c r="B126" s="1"/>
      <c r="C126" s="1"/>
      <c r="D126" s="1"/>
      <c r="E126" s="1"/>
      <c r="F126" s="1"/>
      <c r="G126" s="23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">
      <c r="A127" s="1"/>
      <c r="B127" s="1"/>
      <c r="C127" s="1"/>
      <c r="D127" s="1"/>
      <c r="E127" s="1"/>
      <c r="F127" s="1"/>
      <c r="G127" s="23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">
      <c r="A128" s="1"/>
      <c r="B128" s="1"/>
      <c r="C128" s="1"/>
      <c r="D128" s="1"/>
      <c r="E128" s="1"/>
      <c r="F128" s="1"/>
      <c r="G128" s="23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">
      <c r="A129" s="1"/>
      <c r="B129" s="1"/>
      <c r="C129" s="1"/>
      <c r="D129" s="1"/>
      <c r="E129" s="1"/>
      <c r="F129" s="1"/>
      <c r="G129" s="23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">
      <c r="A130" s="1"/>
      <c r="B130" s="1"/>
      <c r="C130" s="1"/>
      <c r="D130" s="1"/>
      <c r="E130" s="1"/>
      <c r="F130" s="1"/>
      <c r="G130" s="23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">
      <c r="A131" s="1"/>
      <c r="B131" s="1"/>
      <c r="C131" s="1"/>
      <c r="D131" s="1"/>
      <c r="E131" s="1"/>
      <c r="F131" s="1"/>
      <c r="G131" s="23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">
      <c r="A132" s="1"/>
      <c r="B132" s="1"/>
      <c r="C132" s="1"/>
      <c r="D132" s="1"/>
      <c r="E132" s="1"/>
      <c r="F132" s="1"/>
      <c r="G132" s="23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">
      <c r="A133" s="1"/>
      <c r="B133" s="1"/>
      <c r="C133" s="1"/>
      <c r="D133" s="1"/>
      <c r="E133" s="1"/>
      <c r="F133" s="1"/>
      <c r="G133" s="23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">
      <c r="A134" s="1"/>
      <c r="B134" s="1"/>
      <c r="C134" s="1"/>
      <c r="D134" s="1"/>
      <c r="E134" s="1"/>
      <c r="F134" s="1"/>
      <c r="G134" s="23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">
      <c r="A135" s="1"/>
      <c r="B135" s="1"/>
      <c r="C135" s="1"/>
      <c r="D135" s="1"/>
      <c r="E135" s="1"/>
      <c r="F135" s="1"/>
      <c r="G135" s="23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">
      <c r="A136" s="1"/>
      <c r="B136" s="1"/>
      <c r="C136" s="1"/>
      <c r="D136" s="1"/>
      <c r="E136" s="1"/>
      <c r="F136" s="1"/>
      <c r="G136" s="23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">
      <c r="A137" s="1"/>
      <c r="B137" s="1"/>
      <c r="C137" s="1"/>
      <c r="D137" s="1"/>
      <c r="E137" s="1"/>
      <c r="F137" s="1"/>
      <c r="G137" s="23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">
      <c r="A138" s="1"/>
      <c r="B138" s="1"/>
      <c r="C138" s="1"/>
      <c r="D138" s="1"/>
      <c r="E138" s="1"/>
      <c r="F138" s="1"/>
      <c r="G138" s="23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">
      <c r="A139" s="1"/>
      <c r="B139" s="1"/>
      <c r="C139" s="1"/>
      <c r="D139" s="1"/>
      <c r="E139" s="1"/>
      <c r="F139" s="1"/>
      <c r="G139" s="23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">
      <c r="A140" s="1"/>
      <c r="B140" s="1"/>
      <c r="C140" s="1"/>
      <c r="D140" s="1"/>
      <c r="E140" s="1"/>
      <c r="F140" s="1"/>
      <c r="G140" s="23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">
      <c r="A141" s="1"/>
      <c r="B141" s="1"/>
      <c r="C141" s="1"/>
      <c r="D141" s="1"/>
      <c r="E141" s="1"/>
      <c r="F141" s="1"/>
      <c r="G141" s="23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">
      <c r="A142" s="1"/>
      <c r="B142" s="1"/>
      <c r="C142" s="1"/>
      <c r="D142" s="1"/>
      <c r="E142" s="1"/>
      <c r="F142" s="1"/>
      <c r="G142" s="23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">
      <c r="A143" s="1"/>
      <c r="B143" s="1"/>
      <c r="C143" s="1"/>
      <c r="D143" s="1"/>
      <c r="E143" s="1"/>
      <c r="F143" s="1"/>
      <c r="G143" s="23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">
      <c r="A144" s="1"/>
      <c r="B144" s="1"/>
      <c r="C144" s="1"/>
      <c r="D144" s="1"/>
      <c r="E144" s="1"/>
      <c r="F144" s="1"/>
      <c r="G144" s="23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">
      <c r="A145" s="1"/>
      <c r="B145" s="1"/>
      <c r="C145" s="1"/>
      <c r="D145" s="1"/>
      <c r="E145" s="1"/>
      <c r="F145" s="1"/>
      <c r="G145" s="23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">
      <c r="A146" s="1"/>
      <c r="B146" s="1"/>
      <c r="C146" s="1"/>
      <c r="D146" s="1"/>
      <c r="E146" s="1"/>
      <c r="F146" s="1"/>
      <c r="G146" s="23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">
      <c r="A147" s="1"/>
      <c r="B147" s="1"/>
      <c r="C147" s="1"/>
      <c r="D147" s="1"/>
      <c r="E147" s="1"/>
      <c r="F147" s="1"/>
      <c r="G147" s="23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">
      <c r="A148" s="1"/>
      <c r="B148" s="1"/>
      <c r="C148" s="1"/>
      <c r="D148" s="1"/>
      <c r="E148" s="1"/>
      <c r="F148" s="1"/>
      <c r="G148" s="23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">
      <c r="A149" s="1"/>
      <c r="B149" s="1"/>
      <c r="C149" s="1"/>
      <c r="D149" s="1"/>
      <c r="E149" s="1"/>
      <c r="F149" s="1"/>
      <c r="G149" s="23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">
      <c r="A150" s="1"/>
      <c r="B150" s="1"/>
      <c r="C150" s="1"/>
      <c r="D150" s="1"/>
      <c r="E150" s="1"/>
      <c r="F150" s="1"/>
      <c r="G150" s="23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">
      <c r="A151" s="1"/>
      <c r="B151" s="1"/>
      <c r="C151" s="1"/>
      <c r="D151" s="1"/>
      <c r="E151" s="1"/>
      <c r="F151" s="1"/>
      <c r="G151" s="23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">
      <c r="A152" s="1"/>
      <c r="B152" s="1"/>
      <c r="C152" s="1"/>
      <c r="D152" s="1"/>
      <c r="E152" s="1"/>
      <c r="F152" s="1"/>
      <c r="G152" s="23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">
      <c r="A153" s="1"/>
      <c r="B153" s="1"/>
      <c r="C153" s="1"/>
      <c r="D153" s="1"/>
      <c r="E153" s="1"/>
      <c r="F153" s="1"/>
      <c r="G153" s="23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">
      <c r="A154" s="1"/>
      <c r="B154" s="1"/>
      <c r="C154" s="1"/>
      <c r="D154" s="1"/>
      <c r="E154" s="1"/>
      <c r="F154" s="1"/>
      <c r="G154" s="23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">
      <c r="A155" s="1"/>
      <c r="B155" s="1"/>
      <c r="C155" s="1"/>
      <c r="D155" s="1"/>
      <c r="E155" s="1"/>
      <c r="F155" s="1"/>
      <c r="G155" s="23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">
      <c r="A156" s="1"/>
      <c r="B156" s="1"/>
      <c r="C156" s="1"/>
      <c r="D156" s="1"/>
      <c r="E156" s="1"/>
      <c r="F156" s="1"/>
      <c r="G156" s="23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">
      <c r="A157" s="1"/>
      <c r="B157" s="1"/>
      <c r="C157" s="1"/>
      <c r="D157" s="1"/>
      <c r="E157" s="1"/>
      <c r="F157" s="1"/>
      <c r="G157" s="23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">
      <c r="A158" s="1"/>
      <c r="B158" s="1"/>
      <c r="C158" s="1"/>
      <c r="D158" s="1"/>
      <c r="E158" s="1"/>
      <c r="F158" s="1"/>
      <c r="G158" s="23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">
      <c r="A159" s="1"/>
      <c r="B159" s="1"/>
      <c r="C159" s="1"/>
      <c r="D159" s="1"/>
      <c r="E159" s="1"/>
      <c r="F159" s="1"/>
      <c r="G159" s="23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">
      <c r="A160" s="1"/>
      <c r="B160" s="1"/>
      <c r="C160" s="1"/>
      <c r="D160" s="1"/>
      <c r="E160" s="1"/>
      <c r="F160" s="1"/>
      <c r="G160" s="23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">
      <c r="A161" s="1"/>
      <c r="B161" s="1"/>
      <c r="C161" s="1"/>
      <c r="D161" s="1"/>
      <c r="E161" s="1"/>
      <c r="F161" s="1"/>
      <c r="G161" s="23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">
      <c r="A162" s="1"/>
      <c r="B162" s="1"/>
      <c r="C162" s="1"/>
      <c r="D162" s="1"/>
      <c r="E162" s="1"/>
      <c r="F162" s="1"/>
      <c r="G162" s="23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">
      <c r="A163" s="1"/>
      <c r="B163" s="1"/>
      <c r="C163" s="1"/>
      <c r="D163" s="1"/>
      <c r="E163" s="1"/>
      <c r="F163" s="1"/>
      <c r="G163" s="23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">
      <c r="A164" s="1"/>
      <c r="B164" s="1"/>
      <c r="C164" s="1"/>
      <c r="D164" s="1"/>
      <c r="E164" s="1"/>
      <c r="F164" s="1"/>
      <c r="G164" s="23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">
      <c r="A165" s="1"/>
      <c r="B165" s="1"/>
      <c r="C165" s="1"/>
      <c r="D165" s="1"/>
      <c r="E165" s="1"/>
      <c r="F165" s="1"/>
      <c r="G165" s="23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">
      <c r="A166" s="1"/>
      <c r="B166" s="1"/>
      <c r="C166" s="1"/>
      <c r="D166" s="1"/>
      <c r="E166" s="1"/>
      <c r="F166" s="1"/>
      <c r="G166" s="23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">
      <c r="A167" s="1"/>
      <c r="B167" s="1"/>
      <c r="C167" s="1"/>
      <c r="D167" s="1"/>
      <c r="E167" s="1"/>
      <c r="F167" s="1"/>
      <c r="G167" s="23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">
      <c r="A168" s="1"/>
      <c r="B168" s="1"/>
      <c r="C168" s="1"/>
      <c r="D168" s="1"/>
      <c r="E168" s="1"/>
      <c r="F168" s="1"/>
      <c r="G168" s="23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">
      <c r="A169" s="1"/>
      <c r="B169" s="1"/>
      <c r="C169" s="1"/>
      <c r="D169" s="1"/>
      <c r="E169" s="1"/>
      <c r="F169" s="1"/>
      <c r="G169" s="23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">
      <c r="A170" s="1"/>
      <c r="B170" s="1"/>
      <c r="C170" s="1"/>
      <c r="D170" s="1"/>
      <c r="E170" s="1"/>
      <c r="F170" s="1"/>
      <c r="G170" s="23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">
      <c r="A171" s="1"/>
      <c r="B171" s="1"/>
      <c r="C171" s="1"/>
      <c r="D171" s="1"/>
      <c r="E171" s="1"/>
      <c r="F171" s="1"/>
      <c r="G171" s="23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">
      <c r="A172" s="1"/>
      <c r="B172" s="1"/>
      <c r="C172" s="1"/>
      <c r="D172" s="1"/>
      <c r="E172" s="1"/>
      <c r="F172" s="1"/>
      <c r="G172" s="23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">
      <c r="A173" s="1"/>
      <c r="B173" s="1"/>
      <c r="C173" s="1"/>
      <c r="D173" s="1"/>
      <c r="E173" s="1"/>
      <c r="F173" s="1"/>
      <c r="G173" s="23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">
      <c r="A174" s="1"/>
      <c r="B174" s="1"/>
      <c r="C174" s="1"/>
      <c r="D174" s="1"/>
      <c r="E174" s="1"/>
      <c r="F174" s="1"/>
      <c r="G174" s="23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">
      <c r="A175" s="1"/>
      <c r="B175" s="1"/>
      <c r="C175" s="1"/>
      <c r="D175" s="1"/>
      <c r="E175" s="1"/>
      <c r="F175" s="1"/>
      <c r="G175" s="23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">
      <c r="A176" s="1"/>
      <c r="B176" s="1"/>
      <c r="C176" s="1"/>
      <c r="D176" s="1"/>
      <c r="E176" s="1"/>
      <c r="F176" s="1"/>
      <c r="G176" s="23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">
      <c r="A177" s="1"/>
      <c r="B177" s="1"/>
      <c r="C177" s="1"/>
      <c r="D177" s="1"/>
      <c r="E177" s="1"/>
      <c r="F177" s="1"/>
      <c r="G177" s="23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">
      <c r="A178" s="1"/>
      <c r="B178" s="1"/>
      <c r="C178" s="1"/>
      <c r="D178" s="1"/>
      <c r="E178" s="1"/>
      <c r="F178" s="1"/>
      <c r="G178" s="23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">
      <c r="A179" s="1"/>
      <c r="B179" s="1"/>
      <c r="C179" s="1"/>
      <c r="D179" s="1"/>
      <c r="E179" s="1"/>
      <c r="F179" s="1"/>
      <c r="G179" s="23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">
      <c r="A180" s="1"/>
      <c r="B180" s="1"/>
      <c r="C180" s="1"/>
      <c r="D180" s="1"/>
      <c r="E180" s="1"/>
      <c r="F180" s="1"/>
      <c r="G180" s="23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">
      <c r="A181" s="1"/>
      <c r="B181" s="1"/>
      <c r="C181" s="1"/>
      <c r="D181" s="1"/>
      <c r="E181" s="1"/>
      <c r="F181" s="1"/>
      <c r="G181" s="23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">
      <c r="A182" s="1"/>
      <c r="B182" s="1"/>
      <c r="C182" s="1"/>
      <c r="D182" s="1"/>
      <c r="E182" s="1"/>
      <c r="F182" s="1"/>
      <c r="G182" s="23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">
      <c r="A183" s="1"/>
      <c r="B183" s="1"/>
      <c r="C183" s="1"/>
      <c r="D183" s="1"/>
      <c r="E183" s="1"/>
      <c r="F183" s="1"/>
      <c r="G183" s="23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">
      <c r="A184" s="1"/>
      <c r="B184" s="1"/>
      <c r="C184" s="1"/>
      <c r="D184" s="1"/>
      <c r="E184" s="1"/>
      <c r="F184" s="1"/>
      <c r="G184" s="23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">
      <c r="A185" s="1"/>
      <c r="B185" s="1"/>
      <c r="C185" s="1"/>
      <c r="D185" s="1"/>
      <c r="E185" s="1"/>
      <c r="F185" s="1"/>
      <c r="G185" s="23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">
      <c r="A186" s="1"/>
      <c r="B186" s="1"/>
      <c r="C186" s="1"/>
      <c r="D186" s="1"/>
      <c r="E186" s="1"/>
      <c r="F186" s="1"/>
      <c r="G186" s="23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">
      <c r="A187" s="1"/>
      <c r="B187" s="1"/>
      <c r="C187" s="1"/>
      <c r="D187" s="1"/>
      <c r="E187" s="1"/>
      <c r="F187" s="1"/>
      <c r="G187" s="23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">
      <c r="A188" s="1"/>
      <c r="B188" s="1"/>
      <c r="C188" s="1"/>
      <c r="D188" s="1"/>
      <c r="E188" s="1"/>
      <c r="F188" s="1"/>
      <c r="G188" s="23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">
      <c r="A189" s="1"/>
      <c r="B189" s="1"/>
      <c r="C189" s="1"/>
      <c r="D189" s="1"/>
      <c r="E189" s="1"/>
      <c r="F189" s="1"/>
      <c r="G189" s="23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">
      <c r="A190" s="1"/>
      <c r="B190" s="1"/>
      <c r="C190" s="1"/>
      <c r="D190" s="1"/>
      <c r="E190" s="1"/>
      <c r="F190" s="1"/>
      <c r="G190" s="23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">
      <c r="A191" s="1"/>
      <c r="B191" s="1"/>
      <c r="C191" s="1"/>
      <c r="D191" s="1"/>
      <c r="E191" s="1"/>
      <c r="F191" s="1"/>
      <c r="G191" s="23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">
      <c r="A192" s="1"/>
      <c r="B192" s="1"/>
      <c r="C192" s="1"/>
      <c r="D192" s="1"/>
      <c r="E192" s="1"/>
      <c r="F192" s="1"/>
      <c r="G192" s="23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">
      <c r="A193" s="1"/>
      <c r="B193" s="1"/>
      <c r="C193" s="1"/>
      <c r="D193" s="1"/>
      <c r="E193" s="1"/>
      <c r="F193" s="1"/>
      <c r="G193" s="23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">
      <c r="A194" s="1"/>
      <c r="B194" s="1"/>
      <c r="C194" s="1"/>
      <c r="D194" s="1"/>
      <c r="E194" s="1"/>
      <c r="F194" s="1"/>
      <c r="G194" s="23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">
      <c r="A195" s="1"/>
      <c r="B195" s="1"/>
      <c r="C195" s="1"/>
      <c r="D195" s="1"/>
      <c r="E195" s="1"/>
      <c r="F195" s="1"/>
      <c r="G195" s="23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">
      <c r="A196" s="1"/>
      <c r="B196" s="1"/>
      <c r="C196" s="1"/>
      <c r="D196" s="1"/>
      <c r="E196" s="1"/>
      <c r="F196" s="1"/>
      <c r="G196" s="23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">
      <c r="A197" s="1"/>
      <c r="B197" s="1"/>
      <c r="C197" s="1"/>
      <c r="D197" s="1"/>
      <c r="E197" s="1"/>
      <c r="F197" s="1"/>
      <c r="G197" s="23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">
      <c r="A198" s="1"/>
      <c r="B198" s="1"/>
      <c r="C198" s="1"/>
      <c r="D198" s="1"/>
      <c r="E198" s="1"/>
      <c r="F198" s="1"/>
      <c r="G198" s="23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">
      <c r="A199" s="1"/>
      <c r="B199" s="1"/>
      <c r="C199" s="1"/>
      <c r="D199" s="1"/>
      <c r="E199" s="1"/>
      <c r="F199" s="1"/>
      <c r="G199" s="23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">
      <c r="A200" s="1"/>
      <c r="B200" s="1"/>
      <c r="C200" s="1"/>
      <c r="D200" s="1"/>
      <c r="E200" s="1"/>
      <c r="F200" s="1"/>
      <c r="G200" s="23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">
      <c r="A201" s="1"/>
      <c r="B201" s="1"/>
      <c r="C201" s="1"/>
      <c r="D201" s="1"/>
      <c r="E201" s="1"/>
      <c r="F201" s="1"/>
      <c r="G201" s="23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">
      <c r="A202" s="1"/>
      <c r="B202" s="1"/>
      <c r="C202" s="1"/>
      <c r="D202" s="1"/>
      <c r="E202" s="1"/>
      <c r="F202" s="1"/>
      <c r="G202" s="23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">
      <c r="A203" s="1"/>
      <c r="B203" s="1"/>
      <c r="C203" s="1"/>
      <c r="D203" s="1"/>
      <c r="E203" s="1"/>
      <c r="F203" s="1"/>
      <c r="G203" s="23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">
      <c r="A204" s="1"/>
      <c r="B204" s="1"/>
      <c r="C204" s="1"/>
      <c r="D204" s="1"/>
      <c r="E204" s="1"/>
      <c r="F204" s="1"/>
      <c r="G204" s="23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">
      <c r="A205" s="1"/>
      <c r="B205" s="1"/>
      <c r="C205" s="1"/>
      <c r="D205" s="1"/>
      <c r="E205" s="1"/>
      <c r="F205" s="1"/>
      <c r="G205" s="23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">
      <c r="A206" s="1"/>
      <c r="B206" s="1"/>
      <c r="C206" s="1"/>
      <c r="D206" s="1"/>
      <c r="E206" s="1"/>
      <c r="F206" s="1"/>
      <c r="G206" s="23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">
      <c r="A207" s="1"/>
      <c r="B207" s="1"/>
      <c r="C207" s="1"/>
      <c r="D207" s="1"/>
      <c r="E207" s="1"/>
      <c r="F207" s="1"/>
      <c r="G207" s="23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">
      <c r="A208" s="1"/>
      <c r="B208" s="1"/>
      <c r="C208" s="1"/>
      <c r="D208" s="1"/>
      <c r="E208" s="1"/>
      <c r="F208" s="1"/>
      <c r="G208" s="23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">
      <c r="A209" s="1"/>
      <c r="B209" s="1"/>
      <c r="C209" s="1"/>
      <c r="D209" s="1"/>
      <c r="E209" s="1"/>
      <c r="F209" s="1"/>
      <c r="G209" s="23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">
      <c r="A210" s="1"/>
      <c r="B210" s="1"/>
      <c r="C210" s="1"/>
      <c r="D210" s="1"/>
      <c r="E210" s="1"/>
      <c r="F210" s="1"/>
      <c r="G210" s="23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">
      <c r="A211" s="1"/>
      <c r="B211" s="1"/>
      <c r="C211" s="1"/>
      <c r="D211" s="1"/>
      <c r="E211" s="1"/>
      <c r="F211" s="1"/>
      <c r="G211" s="23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">
      <c r="A212" s="1"/>
      <c r="B212" s="1"/>
      <c r="C212" s="1"/>
      <c r="D212" s="1"/>
      <c r="E212" s="1"/>
      <c r="F212" s="1"/>
      <c r="G212" s="23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">
      <c r="A213" s="1"/>
      <c r="B213" s="1"/>
      <c r="C213" s="1"/>
      <c r="D213" s="1"/>
      <c r="E213" s="1"/>
      <c r="F213" s="1"/>
      <c r="G213" s="23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">
      <c r="A214" s="1"/>
      <c r="B214" s="1"/>
      <c r="C214" s="1"/>
      <c r="D214" s="1"/>
      <c r="E214" s="1"/>
      <c r="F214" s="1"/>
      <c r="G214" s="23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">
      <c r="A215" s="1"/>
      <c r="B215" s="1"/>
      <c r="C215" s="1"/>
      <c r="D215" s="1"/>
      <c r="E215" s="1"/>
      <c r="F215" s="1"/>
      <c r="G215" s="23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">
      <c r="A216" s="1"/>
      <c r="B216" s="1"/>
      <c r="C216" s="1"/>
      <c r="D216" s="1"/>
      <c r="E216" s="1"/>
      <c r="F216" s="1"/>
      <c r="G216" s="23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">
      <c r="A217" s="1"/>
      <c r="B217" s="1"/>
      <c r="C217" s="1"/>
      <c r="D217" s="1"/>
      <c r="E217" s="1"/>
      <c r="F217" s="1"/>
      <c r="G217" s="23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">
      <c r="A218" s="1"/>
      <c r="B218" s="1"/>
      <c r="C218" s="1"/>
      <c r="D218" s="1"/>
      <c r="E218" s="1"/>
      <c r="F218" s="1"/>
      <c r="G218" s="23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">
      <c r="A219" s="1"/>
      <c r="B219" s="1"/>
      <c r="C219" s="1"/>
      <c r="D219" s="1"/>
      <c r="E219" s="1"/>
      <c r="F219" s="1"/>
      <c r="G219" s="23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">
      <c r="A220" s="1"/>
      <c r="B220" s="1"/>
      <c r="C220" s="1"/>
      <c r="D220" s="1"/>
      <c r="E220" s="1"/>
      <c r="F220" s="1"/>
      <c r="G220" s="23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">
      <c r="A221" s="1"/>
      <c r="B221" s="1"/>
      <c r="C221" s="1"/>
      <c r="D221" s="1"/>
      <c r="E221" s="1"/>
      <c r="F221" s="1"/>
      <c r="G221" s="23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">
      <c r="A222" s="1"/>
      <c r="B222" s="1"/>
      <c r="C222" s="1"/>
      <c r="D222" s="1"/>
      <c r="E222" s="1"/>
      <c r="F222" s="1"/>
      <c r="G222" s="23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">
      <c r="A223" s="1"/>
      <c r="B223" s="1"/>
      <c r="C223" s="1"/>
      <c r="D223" s="1"/>
      <c r="E223" s="1"/>
      <c r="F223" s="1"/>
      <c r="G223" s="23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">
      <c r="A224" s="1"/>
      <c r="B224" s="1"/>
      <c r="C224" s="1"/>
      <c r="D224" s="1"/>
      <c r="E224" s="1"/>
      <c r="F224" s="1"/>
      <c r="G224" s="23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">
      <c r="A225" s="1"/>
      <c r="B225" s="1"/>
      <c r="C225" s="1"/>
      <c r="D225" s="1"/>
      <c r="E225" s="1"/>
      <c r="F225" s="1"/>
      <c r="G225" s="23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">
      <c r="A226" s="1"/>
      <c r="B226" s="1"/>
      <c r="C226" s="1"/>
      <c r="D226" s="1"/>
      <c r="E226" s="1"/>
      <c r="F226" s="1"/>
      <c r="G226" s="23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">
      <c r="A227" s="1"/>
      <c r="B227" s="1"/>
      <c r="C227" s="1"/>
      <c r="D227" s="1"/>
      <c r="E227" s="1"/>
      <c r="F227" s="1"/>
      <c r="G227" s="23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">
      <c r="A228" s="1"/>
      <c r="B228" s="1"/>
      <c r="C228" s="1"/>
      <c r="D228" s="1"/>
      <c r="E228" s="1"/>
      <c r="F228" s="1"/>
      <c r="G228" s="23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">
      <c r="A229" s="1"/>
      <c r="B229" s="1"/>
      <c r="C229" s="1"/>
      <c r="D229" s="1"/>
      <c r="E229" s="1"/>
      <c r="F229" s="1"/>
      <c r="G229" s="23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">
      <c r="A230" s="1"/>
      <c r="B230" s="1"/>
      <c r="C230" s="1"/>
      <c r="D230" s="1"/>
      <c r="E230" s="1"/>
      <c r="F230" s="1"/>
      <c r="G230" s="23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">
      <c r="A231" s="1"/>
      <c r="B231" s="1"/>
      <c r="C231" s="1"/>
      <c r="D231" s="1"/>
      <c r="E231" s="1"/>
      <c r="F231" s="1"/>
      <c r="G231" s="23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">
      <c r="A232" s="1"/>
      <c r="B232" s="1"/>
      <c r="C232" s="1"/>
      <c r="D232" s="1"/>
      <c r="E232" s="1"/>
      <c r="F232" s="1"/>
      <c r="G232" s="23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">
      <c r="A233" s="1"/>
      <c r="B233" s="1"/>
      <c r="C233" s="1"/>
      <c r="D233" s="1"/>
      <c r="E233" s="1"/>
      <c r="F233" s="1"/>
      <c r="G233" s="23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">
      <c r="A234" s="1"/>
      <c r="B234" s="1"/>
      <c r="C234" s="1"/>
      <c r="D234" s="1"/>
      <c r="E234" s="1"/>
      <c r="F234" s="1"/>
      <c r="G234" s="23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">
      <c r="A235" s="1"/>
      <c r="B235" s="1"/>
      <c r="C235" s="1"/>
      <c r="D235" s="1"/>
      <c r="E235" s="1"/>
      <c r="F235" s="1"/>
      <c r="G235" s="23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">
      <c r="A236" s="1"/>
      <c r="B236" s="1"/>
      <c r="C236" s="1"/>
      <c r="D236" s="1"/>
      <c r="E236" s="1"/>
      <c r="F236" s="1"/>
      <c r="G236" s="23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">
      <c r="A237" s="1"/>
      <c r="B237" s="1"/>
      <c r="C237" s="1"/>
      <c r="D237" s="1"/>
      <c r="E237" s="1"/>
      <c r="F237" s="1"/>
      <c r="G237" s="23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">
      <c r="A238" s="1"/>
      <c r="B238" s="1"/>
      <c r="C238" s="1"/>
      <c r="D238" s="1"/>
      <c r="E238" s="1"/>
      <c r="F238" s="1"/>
      <c r="G238" s="23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">
      <c r="A239" s="1"/>
      <c r="B239" s="1"/>
      <c r="C239" s="1"/>
      <c r="D239" s="1"/>
      <c r="E239" s="1"/>
      <c r="F239" s="1"/>
      <c r="G239" s="23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">
      <c r="A240" s="1"/>
      <c r="B240" s="1"/>
      <c r="C240" s="1"/>
      <c r="D240" s="1"/>
      <c r="E240" s="1"/>
      <c r="F240" s="1"/>
      <c r="G240" s="23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">
      <c r="A241" s="1"/>
      <c r="B241" s="1"/>
      <c r="C241" s="1"/>
      <c r="D241" s="1"/>
      <c r="E241" s="1"/>
      <c r="F241" s="1"/>
      <c r="G241" s="23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">
      <c r="A242" s="1"/>
      <c r="B242" s="1"/>
      <c r="C242" s="1"/>
      <c r="D242" s="1"/>
      <c r="E242" s="1"/>
      <c r="F242" s="1"/>
      <c r="G242" s="23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">
      <c r="A243" s="1"/>
      <c r="B243" s="1"/>
      <c r="C243" s="1"/>
      <c r="D243" s="1"/>
      <c r="E243" s="1"/>
      <c r="F243" s="1"/>
      <c r="G243" s="23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">
      <c r="A244" s="1"/>
      <c r="B244" s="1"/>
      <c r="C244" s="1"/>
      <c r="D244" s="1"/>
      <c r="E244" s="1"/>
      <c r="F244" s="1"/>
      <c r="G244" s="23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">
      <c r="A245" s="1"/>
      <c r="B245" s="1"/>
      <c r="C245" s="1"/>
      <c r="D245" s="1"/>
      <c r="E245" s="1"/>
      <c r="F245" s="1"/>
      <c r="G245" s="23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">
      <c r="A246" s="1"/>
      <c r="B246" s="1"/>
      <c r="C246" s="1"/>
      <c r="D246" s="1"/>
      <c r="E246" s="1"/>
      <c r="F246" s="1"/>
      <c r="G246" s="23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">
      <c r="A247" s="1"/>
      <c r="B247" s="1"/>
      <c r="C247" s="1"/>
      <c r="D247" s="1"/>
      <c r="E247" s="1"/>
      <c r="F247" s="1"/>
      <c r="G247" s="23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">
      <c r="A248" s="1"/>
      <c r="B248" s="1"/>
      <c r="C248" s="1"/>
      <c r="D248" s="1"/>
      <c r="E248" s="1"/>
      <c r="F248" s="1"/>
      <c r="G248" s="23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">
      <c r="A249" s="1"/>
      <c r="B249" s="1"/>
      <c r="C249" s="1"/>
      <c r="D249" s="1"/>
      <c r="E249" s="1"/>
      <c r="F249" s="1"/>
      <c r="G249" s="23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">
      <c r="A250" s="1"/>
      <c r="B250" s="1"/>
      <c r="C250" s="1"/>
      <c r="D250" s="1"/>
      <c r="E250" s="1"/>
      <c r="F250" s="1"/>
      <c r="G250" s="23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">
      <c r="A251" s="1"/>
      <c r="B251" s="1"/>
      <c r="C251" s="1"/>
      <c r="D251" s="1"/>
      <c r="E251" s="1"/>
      <c r="F251" s="1"/>
      <c r="G251" s="23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">
      <c r="A252" s="1"/>
      <c r="B252" s="1"/>
      <c r="C252" s="1"/>
      <c r="D252" s="1"/>
      <c r="E252" s="1"/>
      <c r="F252" s="1"/>
      <c r="G252" s="23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">
      <c r="A253" s="1"/>
      <c r="B253" s="1"/>
      <c r="C253" s="1"/>
      <c r="D253" s="1"/>
      <c r="E253" s="1"/>
      <c r="F253" s="1"/>
      <c r="G253" s="23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">
      <c r="A254" s="1"/>
      <c r="B254" s="1"/>
      <c r="C254" s="1"/>
      <c r="D254" s="1"/>
      <c r="E254" s="1"/>
      <c r="F254" s="1"/>
      <c r="G254" s="23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">
      <c r="A255" s="1"/>
      <c r="B255" s="1"/>
      <c r="C255" s="1"/>
      <c r="D255" s="1"/>
      <c r="E255" s="1"/>
      <c r="F255" s="1"/>
      <c r="G255" s="23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">
      <c r="A256" s="1"/>
      <c r="B256" s="1"/>
      <c r="C256" s="1"/>
      <c r="D256" s="1"/>
      <c r="E256" s="1"/>
      <c r="F256" s="1"/>
      <c r="G256" s="23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">
      <c r="A257" s="1"/>
      <c r="B257" s="1"/>
      <c r="C257" s="1"/>
      <c r="D257" s="1"/>
      <c r="E257" s="1"/>
      <c r="F257" s="1"/>
      <c r="G257" s="23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">
      <c r="A258" s="1"/>
      <c r="B258" s="1"/>
      <c r="C258" s="1"/>
      <c r="D258" s="1"/>
      <c r="E258" s="1"/>
      <c r="F258" s="1"/>
      <c r="G258" s="23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">
      <c r="A259" s="1"/>
      <c r="B259" s="1"/>
      <c r="C259" s="1"/>
      <c r="D259" s="1"/>
      <c r="E259" s="1"/>
      <c r="F259" s="1"/>
      <c r="G259" s="23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">
      <c r="A260" s="1"/>
      <c r="B260" s="1"/>
      <c r="C260" s="1"/>
      <c r="D260" s="1"/>
      <c r="E260" s="1"/>
      <c r="F260" s="1"/>
      <c r="G260" s="23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">
      <c r="A261" s="1"/>
      <c r="B261" s="1"/>
      <c r="C261" s="1"/>
      <c r="D261" s="1"/>
      <c r="E261" s="1"/>
      <c r="F261" s="1"/>
      <c r="G261" s="23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">
      <c r="A262" s="1"/>
      <c r="B262" s="1"/>
      <c r="C262" s="1"/>
      <c r="D262" s="1"/>
      <c r="E262" s="1"/>
      <c r="F262" s="1"/>
      <c r="G262" s="23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">
      <c r="A263" s="1"/>
      <c r="B263" s="1"/>
      <c r="C263" s="1"/>
      <c r="D263" s="1"/>
      <c r="E263" s="1"/>
      <c r="F263" s="1"/>
      <c r="G263" s="23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">
      <c r="A264" s="1"/>
      <c r="B264" s="1"/>
      <c r="C264" s="1"/>
      <c r="D264" s="1"/>
      <c r="E264" s="1"/>
      <c r="F264" s="1"/>
      <c r="G264" s="23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">
      <c r="A265" s="1"/>
      <c r="B265" s="1"/>
      <c r="C265" s="1"/>
      <c r="D265" s="1"/>
      <c r="E265" s="1"/>
      <c r="F265" s="1"/>
      <c r="G265" s="23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">
      <c r="A266" s="1"/>
      <c r="B266" s="1"/>
      <c r="C266" s="1"/>
      <c r="D266" s="1"/>
      <c r="E266" s="1"/>
      <c r="F266" s="1"/>
      <c r="G266" s="23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">
      <c r="A267" s="1"/>
      <c r="B267" s="1"/>
      <c r="C267" s="1"/>
      <c r="D267" s="1"/>
      <c r="E267" s="1"/>
      <c r="F267" s="1"/>
      <c r="G267" s="23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">
      <c r="A268" s="1"/>
      <c r="B268" s="1"/>
      <c r="C268" s="1"/>
      <c r="D268" s="1"/>
      <c r="E268" s="1"/>
      <c r="F268" s="1"/>
      <c r="G268" s="23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">
      <c r="A269" s="1"/>
      <c r="B269" s="1"/>
      <c r="C269" s="1"/>
      <c r="D269" s="1"/>
      <c r="E269" s="1"/>
      <c r="F269" s="1"/>
      <c r="G269" s="23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">
      <c r="A270" s="1"/>
      <c r="B270" s="1"/>
      <c r="C270" s="1"/>
      <c r="D270" s="1"/>
      <c r="E270" s="1"/>
      <c r="F270" s="1"/>
      <c r="G270" s="23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">
      <c r="A271" s="1"/>
      <c r="B271" s="1"/>
      <c r="C271" s="1"/>
      <c r="D271" s="1"/>
      <c r="E271" s="1"/>
      <c r="F271" s="1"/>
      <c r="G271" s="23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">
      <c r="A272" s="1"/>
      <c r="B272" s="1"/>
      <c r="C272" s="1"/>
      <c r="D272" s="1"/>
      <c r="E272" s="1"/>
      <c r="F272" s="1"/>
      <c r="G272" s="23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">
      <c r="A273" s="1"/>
      <c r="B273" s="1"/>
      <c r="C273" s="1"/>
      <c r="D273" s="1"/>
      <c r="E273" s="1"/>
      <c r="F273" s="1"/>
      <c r="G273" s="23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">
      <c r="A274" s="1"/>
      <c r="B274" s="1"/>
      <c r="C274" s="1"/>
      <c r="D274" s="1"/>
      <c r="E274" s="1"/>
      <c r="F274" s="1"/>
      <c r="G274" s="23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">
      <c r="A275" s="1"/>
      <c r="B275" s="1"/>
      <c r="C275" s="1"/>
      <c r="D275" s="1"/>
      <c r="E275" s="1"/>
      <c r="F275" s="1"/>
      <c r="G275" s="23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">
      <c r="A276" s="1"/>
      <c r="B276" s="1"/>
      <c r="C276" s="1"/>
      <c r="D276" s="1"/>
      <c r="E276" s="1"/>
      <c r="F276" s="1"/>
      <c r="G276" s="23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">
      <c r="A277" s="1"/>
      <c r="B277" s="1"/>
      <c r="C277" s="1"/>
      <c r="D277" s="1"/>
      <c r="E277" s="1"/>
      <c r="F277" s="1"/>
      <c r="G277" s="23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">
      <c r="A278" s="1"/>
      <c r="B278" s="1"/>
      <c r="C278" s="1"/>
      <c r="D278" s="1"/>
      <c r="E278" s="1"/>
      <c r="F278" s="1"/>
      <c r="G278" s="23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">
      <c r="A279" s="1"/>
      <c r="B279" s="1"/>
      <c r="C279" s="1"/>
      <c r="D279" s="1"/>
      <c r="E279" s="1"/>
      <c r="F279" s="1"/>
      <c r="G279" s="23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">
      <c r="A280" s="1"/>
      <c r="B280" s="1"/>
      <c r="C280" s="1"/>
      <c r="D280" s="1"/>
      <c r="E280" s="1"/>
      <c r="F280" s="1"/>
      <c r="G280" s="23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">
      <c r="A281" s="1"/>
      <c r="B281" s="1"/>
      <c r="C281" s="1"/>
      <c r="D281" s="1"/>
      <c r="E281" s="1"/>
      <c r="F281" s="1"/>
      <c r="G281" s="23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">
      <c r="A282" s="1"/>
      <c r="B282" s="1"/>
      <c r="C282" s="1"/>
      <c r="D282" s="1"/>
      <c r="E282" s="1"/>
      <c r="F282" s="1"/>
      <c r="G282" s="23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">
      <c r="A283" s="1"/>
      <c r="B283" s="1"/>
      <c r="C283" s="1"/>
      <c r="D283" s="1"/>
      <c r="E283" s="1"/>
      <c r="F283" s="1"/>
      <c r="G283" s="23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">
      <c r="A284" s="1"/>
      <c r="B284" s="1"/>
      <c r="C284" s="1"/>
      <c r="D284" s="1"/>
      <c r="E284" s="1"/>
      <c r="F284" s="1"/>
      <c r="G284" s="23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">
      <c r="A285" s="1"/>
      <c r="B285" s="1"/>
      <c r="C285" s="1"/>
      <c r="D285" s="1"/>
      <c r="E285" s="1"/>
      <c r="F285" s="1"/>
      <c r="G285" s="23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">
      <c r="A286" s="1"/>
      <c r="B286" s="1"/>
      <c r="C286" s="1"/>
      <c r="D286" s="1"/>
      <c r="E286" s="1"/>
      <c r="F286" s="1"/>
      <c r="G286" s="23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">
      <c r="A287" s="1"/>
      <c r="B287" s="1"/>
      <c r="C287" s="1"/>
      <c r="D287" s="1"/>
      <c r="E287" s="1"/>
      <c r="F287" s="1"/>
      <c r="G287" s="23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">
      <c r="A288" s="1"/>
      <c r="B288" s="1"/>
      <c r="C288" s="1"/>
      <c r="D288" s="1"/>
      <c r="E288" s="1"/>
      <c r="F288" s="1"/>
      <c r="G288" s="23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">
      <c r="A289" s="1"/>
      <c r="B289" s="1"/>
      <c r="C289" s="1"/>
      <c r="D289" s="1"/>
      <c r="E289" s="1"/>
      <c r="F289" s="1"/>
      <c r="G289" s="23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">
      <c r="A290" s="1"/>
      <c r="B290" s="1"/>
      <c r="C290" s="1"/>
      <c r="D290" s="1"/>
      <c r="E290" s="1"/>
      <c r="F290" s="1"/>
      <c r="G290" s="23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">
      <c r="A291" s="1"/>
      <c r="B291" s="1"/>
      <c r="C291" s="1"/>
      <c r="D291" s="1"/>
      <c r="E291" s="1"/>
      <c r="F291" s="1"/>
      <c r="G291" s="23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">
      <c r="A292" s="1"/>
      <c r="B292" s="1"/>
      <c r="C292" s="1"/>
      <c r="D292" s="1"/>
      <c r="E292" s="1"/>
      <c r="F292" s="1"/>
      <c r="G292" s="23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">
      <c r="A293" s="1"/>
      <c r="B293" s="1"/>
      <c r="C293" s="1"/>
      <c r="D293" s="1"/>
      <c r="E293" s="1"/>
      <c r="F293" s="1"/>
      <c r="G293" s="23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">
      <c r="A294" s="1"/>
      <c r="B294" s="1"/>
      <c r="C294" s="1"/>
      <c r="D294" s="1"/>
      <c r="E294" s="1"/>
      <c r="F294" s="1"/>
      <c r="G294" s="23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">
      <c r="A295" s="1"/>
      <c r="B295" s="1"/>
      <c r="C295" s="1"/>
      <c r="D295" s="1"/>
      <c r="E295" s="1"/>
      <c r="F295" s="1"/>
      <c r="G295" s="23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">
      <c r="A296" s="1"/>
      <c r="B296" s="1"/>
      <c r="C296" s="1"/>
      <c r="D296" s="1"/>
      <c r="E296" s="1"/>
      <c r="F296" s="1"/>
      <c r="G296" s="23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">
      <c r="A297" s="1"/>
      <c r="B297" s="1"/>
      <c r="C297" s="1"/>
      <c r="D297" s="1"/>
      <c r="E297" s="1"/>
      <c r="F297" s="1"/>
      <c r="G297" s="23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">
      <c r="A298" s="1"/>
      <c r="B298" s="1"/>
      <c r="C298" s="1"/>
      <c r="D298" s="1"/>
      <c r="E298" s="1"/>
      <c r="F298" s="1"/>
      <c r="G298" s="23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">
      <c r="A299" s="1"/>
      <c r="B299" s="1"/>
      <c r="C299" s="1"/>
      <c r="D299" s="1"/>
      <c r="E299" s="1"/>
      <c r="F299" s="1"/>
      <c r="G299" s="23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">
      <c r="A300" s="1"/>
      <c r="B300" s="1"/>
      <c r="C300" s="1"/>
      <c r="D300" s="1"/>
      <c r="E300" s="1"/>
      <c r="F300" s="1"/>
      <c r="G300" s="23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">
      <c r="A301" s="1"/>
      <c r="B301" s="1"/>
      <c r="C301" s="1"/>
      <c r="D301" s="1"/>
      <c r="E301" s="1"/>
      <c r="F301" s="1"/>
      <c r="G301" s="23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">
      <c r="A302" s="1"/>
      <c r="B302" s="1"/>
      <c r="C302" s="1"/>
      <c r="D302" s="1"/>
      <c r="E302" s="1"/>
      <c r="F302" s="1"/>
      <c r="G302" s="23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">
      <c r="A303" s="1"/>
      <c r="B303" s="1"/>
      <c r="C303" s="1"/>
      <c r="D303" s="1"/>
      <c r="E303" s="1"/>
      <c r="F303" s="1"/>
      <c r="G303" s="23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">
      <c r="A304" s="1"/>
      <c r="B304" s="1"/>
      <c r="C304" s="1"/>
      <c r="D304" s="1"/>
      <c r="E304" s="1"/>
      <c r="F304" s="1"/>
      <c r="G304" s="23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">
      <c r="A305" s="1"/>
      <c r="B305" s="1"/>
      <c r="C305" s="1"/>
      <c r="D305" s="1"/>
      <c r="E305" s="1"/>
      <c r="F305" s="1"/>
      <c r="G305" s="23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">
      <c r="A306" s="1"/>
      <c r="B306" s="1"/>
      <c r="C306" s="1"/>
      <c r="D306" s="1"/>
      <c r="E306" s="1"/>
      <c r="F306" s="1"/>
      <c r="G306" s="23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">
      <c r="A307" s="1"/>
      <c r="B307" s="1"/>
      <c r="C307" s="1"/>
      <c r="D307" s="1"/>
      <c r="E307" s="1"/>
      <c r="F307" s="1"/>
      <c r="G307" s="23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">
      <c r="A308" s="1"/>
      <c r="B308" s="1"/>
      <c r="C308" s="1"/>
      <c r="D308" s="1"/>
      <c r="E308" s="1"/>
      <c r="F308" s="1"/>
      <c r="G308" s="23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">
      <c r="A309" s="1"/>
      <c r="B309" s="1"/>
      <c r="C309" s="1"/>
      <c r="D309" s="1"/>
      <c r="E309" s="1"/>
      <c r="F309" s="1"/>
      <c r="G309" s="23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">
      <c r="A310" s="1"/>
      <c r="B310" s="1"/>
      <c r="C310" s="1"/>
      <c r="D310" s="1"/>
      <c r="E310" s="1"/>
      <c r="F310" s="1"/>
      <c r="G310" s="23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">
      <c r="A311" s="1"/>
      <c r="B311" s="1"/>
      <c r="C311" s="1"/>
      <c r="D311" s="1"/>
      <c r="E311" s="1"/>
      <c r="F311" s="1"/>
      <c r="G311" s="23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">
      <c r="A312" s="1"/>
      <c r="B312" s="1"/>
      <c r="C312" s="1"/>
      <c r="D312" s="1"/>
      <c r="E312" s="1"/>
      <c r="F312" s="1"/>
      <c r="G312" s="23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">
      <c r="A313" s="1"/>
      <c r="B313" s="1"/>
      <c r="C313" s="1"/>
      <c r="D313" s="1"/>
      <c r="E313" s="1"/>
      <c r="F313" s="1"/>
      <c r="G313" s="23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">
      <c r="A314" s="1"/>
      <c r="B314" s="1"/>
      <c r="C314" s="1"/>
      <c r="D314" s="1"/>
      <c r="E314" s="1"/>
      <c r="F314" s="1"/>
      <c r="G314" s="23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">
      <c r="A315" s="1"/>
      <c r="B315" s="1"/>
      <c r="C315" s="1"/>
      <c r="D315" s="1"/>
      <c r="E315" s="1"/>
      <c r="F315" s="1"/>
      <c r="G315" s="23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">
      <c r="A316" s="1"/>
      <c r="B316" s="1"/>
      <c r="C316" s="1"/>
      <c r="D316" s="1"/>
      <c r="E316" s="1"/>
      <c r="F316" s="1"/>
      <c r="G316" s="23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">
      <c r="A317" s="1"/>
      <c r="B317" s="1"/>
      <c r="C317" s="1"/>
      <c r="D317" s="1"/>
      <c r="E317" s="1"/>
      <c r="F317" s="1"/>
      <c r="G317" s="23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">
      <c r="A318" s="1"/>
      <c r="B318" s="1"/>
      <c r="C318" s="1"/>
      <c r="D318" s="1"/>
      <c r="E318" s="1"/>
      <c r="F318" s="1"/>
      <c r="G318" s="23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">
      <c r="A319" s="1"/>
      <c r="B319" s="1"/>
      <c r="C319" s="1"/>
      <c r="D319" s="1"/>
      <c r="E319" s="1"/>
      <c r="F319" s="1"/>
      <c r="G319" s="23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">
      <c r="A320" s="1"/>
      <c r="B320" s="1"/>
      <c r="C320" s="1"/>
      <c r="D320" s="1"/>
      <c r="E320" s="1"/>
      <c r="F320" s="1"/>
      <c r="G320" s="23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">
      <c r="A321" s="1"/>
      <c r="B321" s="1"/>
      <c r="C321" s="1"/>
      <c r="D321" s="1"/>
      <c r="E321" s="1"/>
      <c r="F321" s="1"/>
      <c r="G321" s="23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">
      <c r="A322" s="1"/>
      <c r="B322" s="1"/>
      <c r="C322" s="1"/>
      <c r="D322" s="1"/>
      <c r="E322" s="1"/>
      <c r="F322" s="1"/>
      <c r="G322" s="23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">
      <c r="A323" s="1"/>
      <c r="B323" s="1"/>
      <c r="C323" s="1"/>
      <c r="D323" s="1"/>
      <c r="E323" s="1"/>
      <c r="F323" s="1"/>
      <c r="G323" s="23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">
      <c r="A324" s="1"/>
      <c r="B324" s="1"/>
      <c r="C324" s="1"/>
      <c r="D324" s="1"/>
      <c r="E324" s="1"/>
      <c r="F324" s="1"/>
      <c r="G324" s="23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">
      <c r="A325" s="1"/>
      <c r="B325" s="1"/>
      <c r="C325" s="1"/>
      <c r="D325" s="1"/>
      <c r="E325" s="1"/>
      <c r="F325" s="1"/>
      <c r="G325" s="23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">
      <c r="A326" s="1"/>
      <c r="B326" s="1"/>
      <c r="C326" s="1"/>
      <c r="D326" s="1"/>
      <c r="E326" s="1"/>
      <c r="F326" s="1"/>
      <c r="G326" s="23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">
      <c r="A327" s="1"/>
      <c r="B327" s="1"/>
      <c r="C327" s="1"/>
      <c r="D327" s="1"/>
      <c r="E327" s="1"/>
      <c r="F327" s="1"/>
      <c r="G327" s="23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">
      <c r="A328" s="1"/>
      <c r="B328" s="1"/>
      <c r="C328" s="1"/>
      <c r="D328" s="1"/>
      <c r="E328" s="1"/>
      <c r="F328" s="1"/>
      <c r="G328" s="23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">
      <c r="A329" s="1"/>
      <c r="B329" s="1"/>
      <c r="C329" s="1"/>
      <c r="D329" s="1"/>
      <c r="E329" s="1"/>
      <c r="F329" s="1"/>
      <c r="G329" s="23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">
      <c r="A330" s="1"/>
      <c r="B330" s="1"/>
      <c r="C330" s="1"/>
      <c r="D330" s="1"/>
      <c r="E330" s="1"/>
      <c r="F330" s="1"/>
      <c r="G330" s="23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">
      <c r="A331" s="1"/>
      <c r="B331" s="1"/>
      <c r="C331" s="1"/>
      <c r="D331" s="1"/>
      <c r="E331" s="1"/>
      <c r="F331" s="1"/>
      <c r="G331" s="23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">
      <c r="A332" s="1"/>
      <c r="B332" s="1"/>
      <c r="C332" s="1"/>
      <c r="D332" s="1"/>
      <c r="E332" s="1"/>
      <c r="F332" s="1"/>
      <c r="G332" s="23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">
      <c r="A333" s="1"/>
      <c r="B333" s="1"/>
      <c r="C333" s="1"/>
      <c r="D333" s="1"/>
      <c r="E333" s="1"/>
      <c r="F333" s="1"/>
      <c r="G333" s="23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">
      <c r="A334" s="1"/>
      <c r="B334" s="1"/>
      <c r="C334" s="1"/>
      <c r="D334" s="1"/>
      <c r="E334" s="1"/>
      <c r="F334" s="1"/>
      <c r="G334" s="23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">
      <c r="A335" s="1"/>
      <c r="B335" s="1"/>
      <c r="C335" s="1"/>
      <c r="D335" s="1"/>
      <c r="E335" s="1"/>
      <c r="F335" s="1"/>
      <c r="G335" s="23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">
      <c r="A336" s="1"/>
      <c r="B336" s="1"/>
      <c r="C336" s="1"/>
      <c r="D336" s="1"/>
      <c r="E336" s="1"/>
      <c r="F336" s="1"/>
      <c r="G336" s="23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">
      <c r="A337" s="1"/>
      <c r="B337" s="1"/>
      <c r="C337" s="1"/>
      <c r="D337" s="1"/>
      <c r="E337" s="1"/>
      <c r="F337" s="1"/>
      <c r="G337" s="23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">
      <c r="A338" s="1"/>
      <c r="B338" s="1"/>
      <c r="C338" s="1"/>
      <c r="D338" s="1"/>
      <c r="E338" s="1"/>
      <c r="F338" s="1"/>
      <c r="G338" s="23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">
      <c r="A339" s="1"/>
      <c r="B339" s="1"/>
      <c r="C339" s="1"/>
      <c r="D339" s="1"/>
      <c r="E339" s="1"/>
      <c r="F339" s="1"/>
      <c r="G339" s="23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">
      <c r="A340" s="1"/>
      <c r="B340" s="1"/>
      <c r="C340" s="1"/>
      <c r="D340" s="1"/>
      <c r="E340" s="1"/>
      <c r="F340" s="1"/>
      <c r="G340" s="23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">
      <c r="A341" s="1"/>
      <c r="B341" s="1"/>
      <c r="C341" s="1"/>
      <c r="D341" s="1"/>
      <c r="E341" s="1"/>
      <c r="F341" s="1"/>
      <c r="G341" s="23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">
      <c r="A342" s="1"/>
      <c r="B342" s="1"/>
      <c r="C342" s="1"/>
      <c r="D342" s="1"/>
      <c r="E342" s="1"/>
      <c r="F342" s="1"/>
      <c r="G342" s="23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">
      <c r="A343" s="1"/>
      <c r="B343" s="1"/>
      <c r="C343" s="1"/>
      <c r="D343" s="1"/>
      <c r="E343" s="1"/>
      <c r="F343" s="1"/>
      <c r="G343" s="23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">
      <c r="A344" s="1"/>
      <c r="B344" s="1"/>
      <c r="C344" s="1"/>
      <c r="D344" s="1"/>
      <c r="E344" s="1"/>
      <c r="F344" s="1"/>
      <c r="G344" s="23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">
      <c r="A345" s="1"/>
      <c r="B345" s="1"/>
      <c r="C345" s="1"/>
      <c r="D345" s="1"/>
      <c r="E345" s="1"/>
      <c r="F345" s="1"/>
      <c r="G345" s="23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">
      <c r="A346" s="1"/>
      <c r="B346" s="1"/>
      <c r="C346" s="1"/>
      <c r="D346" s="1"/>
      <c r="E346" s="1"/>
      <c r="F346" s="1"/>
      <c r="G346" s="23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">
      <c r="A347" s="1"/>
      <c r="B347" s="1"/>
      <c r="C347" s="1"/>
      <c r="D347" s="1"/>
      <c r="E347" s="1"/>
      <c r="F347" s="1"/>
      <c r="G347" s="23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">
      <c r="A348" s="1"/>
      <c r="B348" s="1"/>
      <c r="C348" s="1"/>
      <c r="D348" s="1"/>
      <c r="E348" s="1"/>
      <c r="F348" s="1"/>
      <c r="G348" s="23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">
      <c r="A349" s="1"/>
      <c r="B349" s="1"/>
      <c r="C349" s="1"/>
      <c r="D349" s="1"/>
      <c r="E349" s="1"/>
      <c r="F349" s="1"/>
      <c r="G349" s="23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">
      <c r="A350" s="1"/>
      <c r="B350" s="1"/>
      <c r="C350" s="1"/>
      <c r="D350" s="1"/>
      <c r="E350" s="1"/>
      <c r="F350" s="1"/>
      <c r="G350" s="23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">
      <c r="A351" s="1"/>
      <c r="B351" s="1"/>
      <c r="C351" s="1"/>
      <c r="D351" s="1"/>
      <c r="E351" s="1"/>
      <c r="F351" s="1"/>
      <c r="G351" s="23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">
      <c r="A352" s="1"/>
      <c r="B352" s="1"/>
      <c r="C352" s="1"/>
      <c r="D352" s="1"/>
      <c r="E352" s="1"/>
      <c r="F352" s="1"/>
      <c r="G352" s="23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">
      <c r="A353" s="1"/>
      <c r="B353" s="1"/>
      <c r="C353" s="1"/>
      <c r="D353" s="1"/>
      <c r="E353" s="1"/>
      <c r="F353" s="1"/>
      <c r="G353" s="23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">
      <c r="A354" s="1"/>
      <c r="B354" s="1"/>
      <c r="C354" s="1"/>
      <c r="D354" s="1"/>
      <c r="E354" s="1"/>
      <c r="F354" s="1"/>
      <c r="G354" s="23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">
      <c r="A355" s="1"/>
      <c r="B355" s="1"/>
      <c r="C355" s="1"/>
      <c r="D355" s="1"/>
      <c r="E355" s="1"/>
      <c r="F355" s="1"/>
      <c r="G355" s="23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">
      <c r="A356" s="1"/>
      <c r="B356" s="1"/>
      <c r="C356" s="1"/>
      <c r="D356" s="1"/>
      <c r="E356" s="1"/>
      <c r="F356" s="1"/>
      <c r="G356" s="23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">
      <c r="A357" s="1"/>
      <c r="B357" s="1"/>
      <c r="C357" s="1"/>
      <c r="D357" s="1"/>
      <c r="E357" s="1"/>
      <c r="F357" s="1"/>
      <c r="G357" s="23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">
      <c r="A358" s="1"/>
      <c r="B358" s="1"/>
      <c r="C358" s="1"/>
      <c r="D358" s="1"/>
      <c r="E358" s="1"/>
      <c r="F358" s="1"/>
      <c r="G358" s="23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">
      <c r="A359" s="1"/>
      <c r="B359" s="1"/>
      <c r="C359" s="1"/>
      <c r="D359" s="1"/>
      <c r="E359" s="1"/>
      <c r="F359" s="1"/>
      <c r="G359" s="23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">
      <c r="A360" s="1"/>
      <c r="B360" s="1"/>
      <c r="C360" s="1"/>
      <c r="D360" s="1"/>
      <c r="E360" s="1"/>
      <c r="F360" s="1"/>
      <c r="G360" s="23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">
      <c r="A361" s="1"/>
      <c r="B361" s="1"/>
      <c r="C361" s="1"/>
      <c r="D361" s="1"/>
      <c r="E361" s="1"/>
      <c r="F361" s="1"/>
      <c r="G361" s="23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">
      <c r="A362" s="1"/>
      <c r="B362" s="1"/>
      <c r="C362" s="1"/>
      <c r="D362" s="1"/>
      <c r="E362" s="1"/>
      <c r="F362" s="1"/>
      <c r="G362" s="23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">
      <c r="A363" s="1"/>
      <c r="B363" s="1"/>
      <c r="C363" s="1"/>
      <c r="D363" s="1"/>
      <c r="E363" s="1"/>
      <c r="F363" s="1"/>
      <c r="G363" s="23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">
      <c r="A364" s="1"/>
      <c r="B364" s="1"/>
      <c r="C364" s="1"/>
      <c r="D364" s="1"/>
      <c r="E364" s="1"/>
      <c r="F364" s="1"/>
      <c r="G364" s="23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">
      <c r="A365" s="1"/>
      <c r="B365" s="1"/>
      <c r="C365" s="1"/>
      <c r="D365" s="1"/>
      <c r="E365" s="1"/>
      <c r="F365" s="1"/>
      <c r="G365" s="23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">
      <c r="A366" s="1"/>
      <c r="B366" s="1"/>
      <c r="C366" s="1"/>
      <c r="D366" s="1"/>
      <c r="E366" s="1"/>
      <c r="F366" s="1"/>
      <c r="G366" s="23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">
      <c r="A367" s="1"/>
      <c r="B367" s="1"/>
      <c r="C367" s="1"/>
      <c r="D367" s="1"/>
      <c r="E367" s="1"/>
      <c r="F367" s="1"/>
      <c r="G367" s="23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">
      <c r="A368" s="1"/>
      <c r="B368" s="1"/>
      <c r="C368" s="1"/>
      <c r="D368" s="1"/>
      <c r="E368" s="1"/>
      <c r="F368" s="1"/>
      <c r="G368" s="23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">
      <c r="A369" s="1"/>
      <c r="B369" s="1"/>
      <c r="C369" s="1"/>
      <c r="D369" s="1"/>
      <c r="E369" s="1"/>
      <c r="F369" s="1"/>
      <c r="G369" s="23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">
      <c r="A370" s="1"/>
      <c r="B370" s="1"/>
      <c r="C370" s="1"/>
      <c r="D370" s="1"/>
      <c r="E370" s="1"/>
      <c r="F370" s="1"/>
      <c r="G370" s="23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">
      <c r="A371" s="1"/>
      <c r="B371" s="1"/>
      <c r="C371" s="1"/>
      <c r="D371" s="1"/>
      <c r="E371" s="1"/>
      <c r="F371" s="1"/>
      <c r="G371" s="23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">
      <c r="A372" s="1"/>
      <c r="B372" s="1"/>
      <c r="C372" s="1"/>
      <c r="D372" s="1"/>
      <c r="E372" s="1"/>
      <c r="F372" s="1"/>
      <c r="G372" s="23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">
      <c r="A373" s="1"/>
      <c r="B373" s="1"/>
      <c r="C373" s="1"/>
      <c r="D373" s="1"/>
      <c r="E373" s="1"/>
      <c r="F373" s="1"/>
      <c r="G373" s="23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">
      <c r="A374" s="1"/>
      <c r="B374" s="1"/>
      <c r="C374" s="1"/>
      <c r="D374" s="1"/>
      <c r="E374" s="1"/>
      <c r="F374" s="1"/>
      <c r="G374" s="23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">
      <c r="A375" s="1"/>
      <c r="B375" s="1"/>
      <c r="C375" s="1"/>
      <c r="D375" s="1"/>
      <c r="E375" s="1"/>
      <c r="F375" s="1"/>
      <c r="G375" s="23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">
      <c r="A376" s="1"/>
      <c r="B376" s="1"/>
      <c r="C376" s="1"/>
      <c r="D376" s="1"/>
      <c r="E376" s="1"/>
      <c r="F376" s="1"/>
      <c r="G376" s="23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">
      <c r="A377" s="1"/>
      <c r="B377" s="1"/>
      <c r="C377" s="1"/>
      <c r="D377" s="1"/>
      <c r="E377" s="1"/>
      <c r="F377" s="1"/>
      <c r="G377" s="23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">
      <c r="A378" s="1"/>
      <c r="B378" s="1"/>
      <c r="C378" s="1"/>
      <c r="D378" s="1"/>
      <c r="E378" s="1"/>
      <c r="F378" s="1"/>
      <c r="G378" s="23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">
      <c r="A379" s="1"/>
      <c r="B379" s="1"/>
      <c r="C379" s="1"/>
      <c r="D379" s="1"/>
      <c r="E379" s="1"/>
      <c r="F379" s="1"/>
      <c r="G379" s="23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">
      <c r="A380" s="1"/>
      <c r="B380" s="1"/>
      <c r="C380" s="1"/>
      <c r="D380" s="1"/>
      <c r="E380" s="1"/>
      <c r="F380" s="1"/>
      <c r="G380" s="23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">
      <c r="A381" s="1"/>
      <c r="B381" s="1"/>
      <c r="C381" s="1"/>
      <c r="D381" s="1"/>
      <c r="E381" s="1"/>
      <c r="F381" s="1"/>
      <c r="G381" s="23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">
      <c r="A382" s="1"/>
      <c r="B382" s="1"/>
      <c r="C382" s="1"/>
      <c r="D382" s="1"/>
      <c r="E382" s="1"/>
      <c r="F382" s="1"/>
      <c r="G382" s="23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">
      <c r="A383" s="1"/>
      <c r="B383" s="1"/>
      <c r="C383" s="1"/>
      <c r="D383" s="1"/>
      <c r="E383" s="1"/>
      <c r="F383" s="1"/>
      <c r="G383" s="23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">
      <c r="A384" s="1"/>
      <c r="B384" s="1"/>
      <c r="C384" s="1"/>
      <c r="D384" s="1"/>
      <c r="E384" s="1"/>
      <c r="F384" s="1"/>
      <c r="G384" s="23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">
      <c r="A385" s="1"/>
      <c r="B385" s="1"/>
      <c r="C385" s="1"/>
      <c r="D385" s="1"/>
      <c r="E385" s="1"/>
      <c r="F385" s="1"/>
      <c r="G385" s="23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">
      <c r="A386" s="1"/>
      <c r="B386" s="1"/>
      <c r="C386" s="1"/>
      <c r="D386" s="1"/>
      <c r="E386" s="1"/>
      <c r="F386" s="1"/>
      <c r="G386" s="23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">
      <c r="A387" s="1"/>
      <c r="B387" s="1"/>
      <c r="C387" s="1"/>
      <c r="D387" s="1"/>
      <c r="E387" s="1"/>
      <c r="F387" s="1"/>
      <c r="G387" s="23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">
      <c r="A388" s="1"/>
      <c r="B388" s="1"/>
      <c r="C388" s="1"/>
      <c r="D388" s="1"/>
      <c r="E388" s="1"/>
      <c r="F388" s="1"/>
      <c r="G388" s="23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">
      <c r="A389" s="1"/>
      <c r="B389" s="1"/>
      <c r="C389" s="1"/>
      <c r="D389" s="1"/>
      <c r="E389" s="1"/>
      <c r="F389" s="1"/>
      <c r="G389" s="23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">
      <c r="A390" s="1"/>
      <c r="B390" s="1"/>
      <c r="C390" s="1"/>
      <c r="D390" s="1"/>
      <c r="E390" s="1"/>
      <c r="F390" s="1"/>
      <c r="G390" s="23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">
      <c r="A391" s="1"/>
      <c r="B391" s="1"/>
      <c r="C391" s="1"/>
      <c r="D391" s="1"/>
      <c r="E391" s="1"/>
      <c r="F391" s="1"/>
      <c r="G391" s="23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">
      <c r="A392" s="1"/>
      <c r="B392" s="1"/>
      <c r="C392" s="1"/>
      <c r="D392" s="1"/>
      <c r="E392" s="1"/>
      <c r="F392" s="1"/>
      <c r="G392" s="23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">
      <c r="A393" s="1"/>
      <c r="B393" s="1"/>
      <c r="C393" s="1"/>
      <c r="D393" s="1"/>
      <c r="E393" s="1"/>
      <c r="F393" s="1"/>
      <c r="G393" s="23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">
      <c r="A394" s="1"/>
      <c r="B394" s="1"/>
      <c r="C394" s="1"/>
      <c r="D394" s="1"/>
      <c r="E394" s="1"/>
      <c r="F394" s="1"/>
      <c r="G394" s="23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">
      <c r="A395" s="1"/>
      <c r="B395" s="1"/>
      <c r="C395" s="1"/>
      <c r="D395" s="1"/>
      <c r="E395" s="1"/>
      <c r="F395" s="1"/>
      <c r="G395" s="23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">
      <c r="A396" s="1"/>
      <c r="B396" s="1"/>
      <c r="C396" s="1"/>
      <c r="D396" s="1"/>
      <c r="E396" s="1"/>
      <c r="F396" s="1"/>
      <c r="G396" s="23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">
      <c r="A397" s="1"/>
      <c r="B397" s="1"/>
      <c r="C397" s="1"/>
      <c r="D397" s="1"/>
      <c r="E397" s="1"/>
      <c r="F397" s="1"/>
      <c r="G397" s="23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">
      <c r="A398" s="1"/>
      <c r="B398" s="1"/>
      <c r="C398" s="1"/>
      <c r="D398" s="1"/>
      <c r="E398" s="1"/>
      <c r="F398" s="1"/>
      <c r="G398" s="23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">
      <c r="A399" s="1"/>
      <c r="B399" s="1"/>
      <c r="C399" s="1"/>
      <c r="D399" s="1"/>
      <c r="E399" s="1"/>
      <c r="F399" s="1"/>
      <c r="G399" s="23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">
      <c r="A400" s="1"/>
      <c r="B400" s="1"/>
      <c r="C400" s="1"/>
      <c r="D400" s="1"/>
      <c r="E400" s="1"/>
      <c r="F400" s="1"/>
      <c r="G400" s="23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">
      <c r="A401" s="1"/>
      <c r="B401" s="1"/>
      <c r="C401" s="1"/>
      <c r="D401" s="1"/>
      <c r="E401" s="1"/>
      <c r="F401" s="1"/>
      <c r="G401" s="23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">
      <c r="A402" s="1"/>
      <c r="B402" s="1"/>
      <c r="C402" s="1"/>
      <c r="D402" s="1"/>
      <c r="E402" s="1"/>
      <c r="F402" s="1"/>
      <c r="G402" s="23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">
      <c r="A403" s="1"/>
      <c r="B403" s="1"/>
      <c r="C403" s="1"/>
      <c r="D403" s="1"/>
      <c r="E403" s="1"/>
      <c r="F403" s="1"/>
      <c r="G403" s="23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">
      <c r="A404" s="1"/>
      <c r="B404" s="1"/>
      <c r="C404" s="1"/>
      <c r="D404" s="1"/>
      <c r="E404" s="1"/>
      <c r="F404" s="1"/>
      <c r="G404" s="23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">
      <c r="A405" s="1"/>
      <c r="B405" s="1"/>
      <c r="C405" s="1"/>
      <c r="D405" s="1"/>
      <c r="E405" s="1"/>
      <c r="F405" s="1"/>
      <c r="G405" s="23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">
      <c r="A406" s="1"/>
      <c r="B406" s="1"/>
      <c r="C406" s="1"/>
      <c r="D406" s="1"/>
      <c r="E406" s="1"/>
      <c r="F406" s="1"/>
      <c r="G406" s="23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">
      <c r="A407" s="1"/>
      <c r="B407" s="1"/>
      <c r="C407" s="1"/>
      <c r="D407" s="1"/>
      <c r="E407" s="1"/>
      <c r="F407" s="1"/>
      <c r="G407" s="23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">
      <c r="A408" s="1"/>
      <c r="B408" s="1"/>
      <c r="C408" s="1"/>
      <c r="D408" s="1"/>
      <c r="E408" s="1"/>
      <c r="F408" s="1"/>
      <c r="G408" s="23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">
      <c r="A409" s="1"/>
      <c r="B409" s="1"/>
      <c r="C409" s="1"/>
      <c r="D409" s="1"/>
      <c r="E409" s="1"/>
      <c r="F409" s="1"/>
      <c r="G409" s="23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">
      <c r="A410" s="1"/>
      <c r="B410" s="1"/>
      <c r="C410" s="1"/>
      <c r="D410" s="1"/>
      <c r="E410" s="1"/>
      <c r="F410" s="1"/>
      <c r="G410" s="23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">
      <c r="A411" s="1"/>
      <c r="B411" s="1"/>
      <c r="C411" s="1"/>
      <c r="D411" s="1"/>
      <c r="E411" s="1"/>
      <c r="F411" s="1"/>
      <c r="G411" s="23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">
      <c r="A412" s="1"/>
      <c r="B412" s="1"/>
      <c r="C412" s="1"/>
      <c r="D412" s="1"/>
      <c r="E412" s="1"/>
      <c r="F412" s="1"/>
      <c r="G412" s="23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">
      <c r="A413" s="1"/>
      <c r="B413" s="1"/>
      <c r="C413" s="1"/>
      <c r="D413" s="1"/>
      <c r="E413" s="1"/>
      <c r="F413" s="1"/>
      <c r="G413" s="23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">
      <c r="A414" s="1"/>
      <c r="B414" s="1"/>
      <c r="C414" s="1"/>
      <c r="D414" s="1"/>
      <c r="E414" s="1"/>
      <c r="F414" s="1"/>
      <c r="G414" s="23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">
      <c r="A415" s="1"/>
      <c r="B415" s="1"/>
      <c r="C415" s="1"/>
      <c r="D415" s="1"/>
      <c r="E415" s="1"/>
      <c r="F415" s="1"/>
      <c r="G415" s="23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">
      <c r="A416" s="1"/>
      <c r="B416" s="1"/>
      <c r="C416" s="1"/>
      <c r="D416" s="1"/>
      <c r="E416" s="1"/>
      <c r="F416" s="1"/>
      <c r="G416" s="23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">
      <c r="A417" s="1"/>
      <c r="B417" s="1"/>
      <c r="C417" s="1"/>
      <c r="D417" s="1"/>
      <c r="E417" s="1"/>
      <c r="F417" s="1"/>
      <c r="G417" s="23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">
      <c r="A418" s="1"/>
      <c r="B418" s="1"/>
      <c r="C418" s="1"/>
      <c r="D418" s="1"/>
      <c r="E418" s="1"/>
      <c r="F418" s="1"/>
      <c r="G418" s="23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">
      <c r="A419" s="1"/>
      <c r="B419" s="1"/>
      <c r="C419" s="1"/>
      <c r="D419" s="1"/>
      <c r="E419" s="1"/>
      <c r="F419" s="1"/>
      <c r="G419" s="23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">
      <c r="A420" s="1"/>
      <c r="B420" s="1"/>
      <c r="C420" s="1"/>
      <c r="D420" s="1"/>
      <c r="E420" s="1"/>
      <c r="F420" s="1"/>
      <c r="G420" s="23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">
      <c r="A421" s="1"/>
      <c r="B421" s="1"/>
      <c r="C421" s="1"/>
      <c r="D421" s="1"/>
      <c r="E421" s="1"/>
      <c r="F421" s="1"/>
      <c r="G421" s="23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">
      <c r="A422" s="1"/>
      <c r="B422" s="1"/>
      <c r="C422" s="1"/>
      <c r="D422" s="1"/>
      <c r="E422" s="1"/>
      <c r="F422" s="1"/>
      <c r="G422" s="23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">
      <c r="A423" s="1"/>
      <c r="B423" s="1"/>
      <c r="C423" s="1"/>
      <c r="D423" s="1"/>
      <c r="E423" s="1"/>
      <c r="F423" s="1"/>
      <c r="G423" s="23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">
      <c r="A424" s="1"/>
      <c r="B424" s="1"/>
      <c r="C424" s="1"/>
      <c r="D424" s="1"/>
      <c r="E424" s="1"/>
      <c r="F424" s="1"/>
      <c r="G424" s="23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">
      <c r="A425" s="1"/>
      <c r="B425" s="1"/>
      <c r="C425" s="1"/>
      <c r="D425" s="1"/>
      <c r="E425" s="1"/>
      <c r="F425" s="1"/>
      <c r="G425" s="23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">
      <c r="A426" s="1"/>
      <c r="B426" s="1"/>
      <c r="C426" s="1"/>
      <c r="D426" s="1"/>
      <c r="E426" s="1"/>
      <c r="F426" s="1"/>
      <c r="G426" s="23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">
      <c r="A427" s="1"/>
      <c r="B427" s="1"/>
      <c r="C427" s="1"/>
      <c r="D427" s="1"/>
      <c r="E427" s="1"/>
      <c r="F427" s="1"/>
      <c r="G427" s="23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">
      <c r="A428" s="1"/>
      <c r="B428" s="1"/>
      <c r="C428" s="1"/>
      <c r="D428" s="1"/>
      <c r="E428" s="1"/>
      <c r="F428" s="1"/>
      <c r="G428" s="23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">
      <c r="A429" s="1"/>
      <c r="B429" s="1"/>
      <c r="C429" s="1"/>
      <c r="D429" s="1"/>
      <c r="E429" s="1"/>
      <c r="F429" s="1"/>
      <c r="G429" s="23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">
      <c r="A430" s="1"/>
      <c r="B430" s="1"/>
      <c r="C430" s="1"/>
      <c r="D430" s="1"/>
      <c r="E430" s="1"/>
      <c r="F430" s="1"/>
      <c r="G430" s="23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">
      <c r="A431" s="1"/>
      <c r="B431" s="1"/>
      <c r="C431" s="1"/>
      <c r="D431" s="1"/>
      <c r="E431" s="1"/>
      <c r="F431" s="1"/>
      <c r="G431" s="23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">
      <c r="A432" s="1"/>
      <c r="B432" s="1"/>
      <c r="C432" s="1"/>
      <c r="D432" s="1"/>
      <c r="E432" s="1"/>
      <c r="F432" s="1"/>
      <c r="G432" s="23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">
      <c r="A433" s="1"/>
      <c r="B433" s="1"/>
      <c r="C433" s="1"/>
      <c r="D433" s="1"/>
      <c r="E433" s="1"/>
      <c r="F433" s="1"/>
      <c r="G433" s="23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">
      <c r="A434" s="1"/>
      <c r="B434" s="1"/>
      <c r="C434" s="1"/>
      <c r="D434" s="1"/>
      <c r="E434" s="1"/>
      <c r="F434" s="1"/>
      <c r="G434" s="23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">
      <c r="A435" s="1"/>
      <c r="B435" s="1"/>
      <c r="C435" s="1"/>
      <c r="D435" s="1"/>
      <c r="E435" s="1"/>
      <c r="F435" s="1"/>
      <c r="G435" s="23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">
      <c r="A436" s="1"/>
      <c r="B436" s="1"/>
      <c r="C436" s="1"/>
      <c r="D436" s="1"/>
      <c r="E436" s="1"/>
      <c r="F436" s="1"/>
      <c r="G436" s="23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">
      <c r="A437" s="1"/>
      <c r="B437" s="1"/>
      <c r="C437" s="1"/>
      <c r="D437" s="1"/>
      <c r="E437" s="1"/>
      <c r="F437" s="1"/>
      <c r="G437" s="23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">
      <c r="A438" s="1"/>
      <c r="B438" s="1"/>
      <c r="C438" s="1"/>
      <c r="D438" s="1"/>
      <c r="E438" s="1"/>
      <c r="F438" s="1"/>
      <c r="G438" s="23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">
      <c r="A439" s="1"/>
      <c r="B439" s="1"/>
      <c r="C439" s="1"/>
      <c r="D439" s="1"/>
      <c r="E439" s="1"/>
      <c r="F439" s="1"/>
      <c r="G439" s="23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">
      <c r="A440" s="1"/>
      <c r="B440" s="1"/>
      <c r="C440" s="1"/>
      <c r="D440" s="1"/>
      <c r="E440" s="1"/>
      <c r="F440" s="1"/>
      <c r="G440" s="23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">
      <c r="A441" s="1"/>
      <c r="B441" s="1"/>
      <c r="C441" s="1"/>
      <c r="D441" s="1"/>
      <c r="E441" s="1"/>
      <c r="F441" s="1"/>
      <c r="G441" s="23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">
      <c r="A442" s="1"/>
      <c r="B442" s="1"/>
      <c r="C442" s="1"/>
      <c r="D442" s="1"/>
      <c r="E442" s="1"/>
      <c r="F442" s="1"/>
      <c r="G442" s="23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">
      <c r="A443" s="1"/>
      <c r="B443" s="1"/>
      <c r="C443" s="1"/>
      <c r="D443" s="1"/>
      <c r="E443" s="1"/>
      <c r="F443" s="1"/>
      <c r="G443" s="23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">
      <c r="A444" s="1"/>
      <c r="B444" s="1"/>
      <c r="C444" s="1"/>
      <c r="D444" s="1"/>
      <c r="E444" s="1"/>
      <c r="F444" s="1"/>
      <c r="G444" s="23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">
      <c r="A445" s="1"/>
      <c r="B445" s="1"/>
      <c r="C445" s="1"/>
      <c r="D445" s="1"/>
      <c r="E445" s="1"/>
      <c r="F445" s="1"/>
      <c r="G445" s="23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">
      <c r="A446" s="1"/>
      <c r="B446" s="1"/>
      <c r="C446" s="1"/>
      <c r="D446" s="1"/>
      <c r="E446" s="1"/>
      <c r="F446" s="1"/>
      <c r="G446" s="23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">
      <c r="A447" s="1"/>
      <c r="B447" s="1"/>
      <c r="C447" s="1"/>
      <c r="D447" s="1"/>
      <c r="E447" s="1"/>
      <c r="F447" s="1"/>
      <c r="G447" s="23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">
      <c r="A448" s="1"/>
      <c r="B448" s="1"/>
      <c r="C448" s="1"/>
      <c r="D448" s="1"/>
      <c r="E448" s="1"/>
      <c r="F448" s="1"/>
      <c r="G448" s="23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">
      <c r="A449" s="1"/>
      <c r="B449" s="1"/>
      <c r="C449" s="1"/>
      <c r="D449" s="1"/>
      <c r="E449" s="1"/>
      <c r="F449" s="1"/>
      <c r="G449" s="23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">
      <c r="A450" s="1"/>
      <c r="B450" s="1"/>
      <c r="C450" s="1"/>
      <c r="D450" s="1"/>
      <c r="E450" s="1"/>
      <c r="F450" s="1"/>
      <c r="G450" s="23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">
      <c r="A451" s="1"/>
      <c r="B451" s="1"/>
      <c r="C451" s="1"/>
      <c r="D451" s="1"/>
      <c r="E451" s="1"/>
      <c r="F451" s="1"/>
      <c r="G451" s="23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">
      <c r="A452" s="1"/>
      <c r="B452" s="1"/>
      <c r="C452" s="1"/>
      <c r="D452" s="1"/>
      <c r="E452" s="1"/>
      <c r="F452" s="1"/>
      <c r="G452" s="23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">
      <c r="A453" s="1"/>
      <c r="B453" s="1"/>
      <c r="C453" s="1"/>
      <c r="D453" s="1"/>
      <c r="E453" s="1"/>
      <c r="F453" s="1"/>
      <c r="G453" s="23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">
      <c r="A454" s="1"/>
      <c r="B454" s="1"/>
      <c r="C454" s="1"/>
      <c r="D454" s="1"/>
      <c r="E454" s="1"/>
      <c r="F454" s="1"/>
      <c r="G454" s="23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">
      <c r="A455" s="1"/>
      <c r="B455" s="1"/>
      <c r="C455" s="1"/>
      <c r="D455" s="1"/>
      <c r="E455" s="1"/>
      <c r="F455" s="1"/>
      <c r="G455" s="23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">
      <c r="A456" s="1"/>
      <c r="B456" s="1"/>
      <c r="C456" s="1"/>
      <c r="D456" s="1"/>
      <c r="E456" s="1"/>
      <c r="F456" s="1"/>
      <c r="G456" s="23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">
      <c r="A457" s="1"/>
      <c r="B457" s="1"/>
      <c r="C457" s="1"/>
      <c r="D457" s="1"/>
      <c r="E457" s="1"/>
      <c r="F457" s="1"/>
      <c r="G457" s="23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">
      <c r="A458" s="1"/>
      <c r="B458" s="1"/>
      <c r="C458" s="1"/>
      <c r="D458" s="1"/>
      <c r="E458" s="1"/>
      <c r="F458" s="1"/>
      <c r="G458" s="23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">
      <c r="A459" s="1"/>
      <c r="B459" s="1"/>
      <c r="C459" s="1"/>
      <c r="D459" s="1"/>
      <c r="E459" s="1"/>
      <c r="F459" s="1"/>
      <c r="G459" s="23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">
      <c r="A460" s="1"/>
      <c r="B460" s="1"/>
      <c r="C460" s="1"/>
      <c r="D460" s="1"/>
      <c r="E460" s="1"/>
      <c r="F460" s="1"/>
      <c r="G460" s="23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">
      <c r="A461" s="1"/>
      <c r="B461" s="1"/>
      <c r="C461" s="1"/>
      <c r="D461" s="1"/>
      <c r="E461" s="1"/>
      <c r="F461" s="1"/>
      <c r="G461" s="23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">
      <c r="A462" s="1"/>
      <c r="B462" s="1"/>
      <c r="C462" s="1"/>
      <c r="D462" s="1"/>
      <c r="E462" s="1"/>
      <c r="F462" s="1"/>
      <c r="G462" s="23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">
      <c r="A463" s="1"/>
      <c r="B463" s="1"/>
      <c r="C463" s="1"/>
      <c r="D463" s="1"/>
      <c r="E463" s="1"/>
      <c r="F463" s="1"/>
      <c r="G463" s="23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">
      <c r="A464" s="1"/>
      <c r="B464" s="1"/>
      <c r="C464" s="1"/>
      <c r="D464" s="1"/>
      <c r="E464" s="1"/>
      <c r="F464" s="1"/>
      <c r="G464" s="23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">
      <c r="A465" s="1"/>
      <c r="B465" s="1"/>
      <c r="C465" s="1"/>
      <c r="D465" s="1"/>
      <c r="E465" s="1"/>
      <c r="F465" s="1"/>
      <c r="G465" s="23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">
      <c r="A466" s="1"/>
      <c r="B466" s="1"/>
      <c r="C466" s="1"/>
      <c r="D466" s="1"/>
      <c r="E466" s="1"/>
      <c r="F466" s="1"/>
      <c r="G466" s="23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">
      <c r="A467" s="1"/>
      <c r="B467" s="1"/>
      <c r="C467" s="1"/>
      <c r="D467" s="1"/>
      <c r="E467" s="1"/>
      <c r="F467" s="1"/>
      <c r="G467" s="23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">
      <c r="A468" s="1"/>
      <c r="B468" s="1"/>
      <c r="C468" s="1"/>
      <c r="D468" s="1"/>
      <c r="E468" s="1"/>
      <c r="F468" s="1"/>
      <c r="G468" s="23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">
      <c r="A469" s="1"/>
      <c r="B469" s="1"/>
      <c r="C469" s="1"/>
      <c r="D469" s="1"/>
      <c r="E469" s="1"/>
      <c r="F469" s="1"/>
      <c r="G469" s="23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">
      <c r="A470" s="1"/>
      <c r="B470" s="1"/>
      <c r="C470" s="1"/>
      <c r="D470" s="1"/>
      <c r="E470" s="1"/>
      <c r="F470" s="1"/>
      <c r="G470" s="23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">
      <c r="A471" s="1"/>
      <c r="B471" s="1"/>
      <c r="C471" s="1"/>
      <c r="D471" s="1"/>
      <c r="E471" s="1"/>
      <c r="F471" s="1"/>
      <c r="G471" s="23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">
      <c r="A472" s="1"/>
      <c r="B472" s="1"/>
      <c r="C472" s="1"/>
      <c r="D472" s="1"/>
      <c r="E472" s="1"/>
      <c r="F472" s="1"/>
      <c r="G472" s="23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">
      <c r="A473" s="1"/>
      <c r="B473" s="1"/>
      <c r="C473" s="1"/>
      <c r="D473" s="1"/>
      <c r="E473" s="1"/>
      <c r="F473" s="1"/>
      <c r="G473" s="23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">
      <c r="A474" s="1"/>
      <c r="B474" s="1"/>
      <c r="C474" s="1"/>
      <c r="D474" s="1"/>
      <c r="E474" s="1"/>
      <c r="F474" s="1"/>
      <c r="G474" s="23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">
      <c r="A475" s="1"/>
      <c r="B475" s="1"/>
      <c r="C475" s="1"/>
      <c r="D475" s="1"/>
      <c r="E475" s="1"/>
      <c r="F475" s="1"/>
      <c r="G475" s="23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">
      <c r="A476" s="1"/>
      <c r="B476" s="1"/>
      <c r="C476" s="1"/>
      <c r="D476" s="1"/>
      <c r="E476" s="1"/>
      <c r="F476" s="1"/>
      <c r="G476" s="23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">
      <c r="A477" s="1"/>
      <c r="B477" s="1"/>
      <c r="C477" s="1"/>
      <c r="D477" s="1"/>
      <c r="E477" s="1"/>
      <c r="F477" s="1"/>
      <c r="G477" s="23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">
      <c r="A478" s="1"/>
      <c r="B478" s="1"/>
      <c r="C478" s="1"/>
      <c r="D478" s="1"/>
      <c r="E478" s="1"/>
      <c r="F478" s="1"/>
      <c r="G478" s="23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">
      <c r="A479" s="1"/>
      <c r="B479" s="1"/>
      <c r="C479" s="1"/>
      <c r="D479" s="1"/>
      <c r="E479" s="1"/>
      <c r="F479" s="1"/>
      <c r="G479" s="23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">
      <c r="A480" s="1"/>
      <c r="B480" s="1"/>
      <c r="C480" s="1"/>
      <c r="D480" s="1"/>
      <c r="E480" s="1"/>
      <c r="F480" s="1"/>
      <c r="G480" s="23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">
      <c r="A481" s="1"/>
      <c r="B481" s="1"/>
      <c r="C481" s="1"/>
      <c r="D481" s="1"/>
      <c r="E481" s="1"/>
      <c r="F481" s="1"/>
      <c r="G481" s="23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">
      <c r="A482" s="1"/>
      <c r="B482" s="1"/>
      <c r="C482" s="1"/>
      <c r="D482" s="1"/>
      <c r="E482" s="1"/>
      <c r="F482" s="1"/>
      <c r="G482" s="23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">
      <c r="A483" s="1"/>
      <c r="B483" s="1"/>
      <c r="C483" s="1"/>
      <c r="D483" s="1"/>
      <c r="E483" s="1"/>
      <c r="F483" s="1"/>
      <c r="G483" s="23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">
      <c r="A484" s="1"/>
      <c r="B484" s="1"/>
      <c r="C484" s="1"/>
      <c r="D484" s="1"/>
      <c r="E484" s="1"/>
      <c r="F484" s="1"/>
      <c r="G484" s="23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">
      <c r="A485" s="1"/>
      <c r="B485" s="1"/>
      <c r="C485" s="1"/>
      <c r="D485" s="1"/>
      <c r="E485" s="1"/>
      <c r="F485" s="1"/>
      <c r="G485" s="23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">
      <c r="A486" s="1"/>
      <c r="B486" s="1"/>
      <c r="C486" s="1"/>
      <c r="D486" s="1"/>
      <c r="E486" s="1"/>
      <c r="F486" s="1"/>
      <c r="G486" s="23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">
      <c r="A487" s="1"/>
      <c r="B487" s="1"/>
      <c r="C487" s="1"/>
      <c r="D487" s="1"/>
      <c r="E487" s="1"/>
      <c r="F487" s="1"/>
      <c r="G487" s="23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">
      <c r="A488" s="1"/>
      <c r="B488" s="1"/>
      <c r="C488" s="1"/>
      <c r="D488" s="1"/>
      <c r="E488" s="1"/>
      <c r="F488" s="1"/>
      <c r="G488" s="23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">
      <c r="A489" s="1"/>
      <c r="B489" s="1"/>
      <c r="C489" s="1"/>
      <c r="D489" s="1"/>
      <c r="E489" s="1"/>
      <c r="F489" s="1"/>
      <c r="G489" s="23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">
      <c r="A490" s="1"/>
      <c r="B490" s="1"/>
      <c r="C490" s="1"/>
      <c r="D490" s="1"/>
      <c r="E490" s="1"/>
      <c r="F490" s="1"/>
      <c r="G490" s="23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">
      <c r="A491" s="1"/>
      <c r="B491" s="1"/>
      <c r="C491" s="1"/>
      <c r="D491" s="1"/>
      <c r="E491" s="1"/>
      <c r="F491" s="1"/>
      <c r="G491" s="23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">
      <c r="A492" s="1"/>
      <c r="B492" s="1"/>
      <c r="C492" s="1"/>
      <c r="D492" s="1"/>
      <c r="E492" s="1"/>
      <c r="F492" s="1"/>
      <c r="G492" s="23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">
      <c r="A493" s="1"/>
      <c r="B493" s="1"/>
      <c r="C493" s="1"/>
      <c r="D493" s="1"/>
      <c r="E493" s="1"/>
      <c r="F493" s="1"/>
      <c r="G493" s="23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">
      <c r="A494" s="1"/>
      <c r="B494" s="1"/>
      <c r="C494" s="1"/>
      <c r="D494" s="1"/>
      <c r="E494" s="1"/>
      <c r="F494" s="1"/>
      <c r="G494" s="23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">
      <c r="A495" s="1"/>
      <c r="B495" s="1"/>
      <c r="C495" s="1"/>
      <c r="D495" s="1"/>
      <c r="E495" s="1"/>
      <c r="F495" s="1"/>
      <c r="G495" s="23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">
      <c r="A496" s="1"/>
      <c r="B496" s="1"/>
      <c r="C496" s="1"/>
      <c r="D496" s="1"/>
      <c r="E496" s="1"/>
      <c r="F496" s="1"/>
      <c r="G496" s="23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">
      <c r="A497" s="1"/>
      <c r="B497" s="1"/>
      <c r="C497" s="1"/>
      <c r="D497" s="1"/>
      <c r="E497" s="1"/>
      <c r="F497" s="1"/>
      <c r="G497" s="23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">
      <c r="A498" s="1"/>
      <c r="B498" s="1"/>
      <c r="C498" s="1"/>
      <c r="D498" s="1"/>
      <c r="E498" s="1"/>
      <c r="F498" s="1"/>
      <c r="G498" s="23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">
      <c r="A499" s="1"/>
      <c r="B499" s="1"/>
      <c r="C499" s="1"/>
      <c r="D499" s="1"/>
      <c r="E499" s="1"/>
      <c r="F499" s="1"/>
      <c r="G499" s="23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">
      <c r="A500" s="1"/>
      <c r="B500" s="1"/>
      <c r="C500" s="1"/>
      <c r="D500" s="1"/>
      <c r="E500" s="1"/>
      <c r="F500" s="1"/>
      <c r="G500" s="23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">
      <c r="A501" s="1"/>
      <c r="B501" s="1"/>
      <c r="C501" s="1"/>
      <c r="D501" s="1"/>
      <c r="E501" s="1"/>
      <c r="F501" s="1"/>
      <c r="G501" s="23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">
      <c r="A502" s="1"/>
      <c r="B502" s="1"/>
      <c r="C502" s="1"/>
      <c r="D502" s="1"/>
      <c r="E502" s="1"/>
      <c r="F502" s="1"/>
      <c r="G502" s="23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">
      <c r="A503" s="1"/>
      <c r="B503" s="1"/>
      <c r="C503" s="1"/>
      <c r="D503" s="1"/>
      <c r="E503" s="1"/>
      <c r="F503" s="1"/>
      <c r="G503" s="23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">
      <c r="A504" s="1"/>
      <c r="B504" s="1"/>
      <c r="C504" s="1"/>
      <c r="D504" s="1"/>
      <c r="E504" s="1"/>
      <c r="F504" s="1"/>
      <c r="G504" s="23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">
      <c r="A505" s="1"/>
      <c r="B505" s="1"/>
      <c r="C505" s="1"/>
      <c r="D505" s="1"/>
      <c r="E505" s="1"/>
      <c r="F505" s="1"/>
      <c r="G505" s="23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">
      <c r="A506" s="1"/>
      <c r="B506" s="1"/>
      <c r="C506" s="1"/>
      <c r="D506" s="1"/>
      <c r="E506" s="1"/>
      <c r="F506" s="1"/>
      <c r="G506" s="23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">
      <c r="A507" s="1"/>
      <c r="B507" s="1"/>
      <c r="C507" s="1"/>
      <c r="D507" s="1"/>
      <c r="E507" s="1"/>
      <c r="F507" s="1"/>
      <c r="G507" s="23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">
      <c r="A508" s="1"/>
      <c r="B508" s="1"/>
      <c r="C508" s="1"/>
      <c r="D508" s="1"/>
      <c r="E508" s="1"/>
      <c r="F508" s="1"/>
      <c r="G508" s="23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">
      <c r="A509" s="1"/>
      <c r="B509" s="1"/>
      <c r="C509" s="1"/>
      <c r="D509" s="1"/>
      <c r="E509" s="1"/>
      <c r="F509" s="1"/>
      <c r="G509" s="23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">
      <c r="A510" s="1"/>
      <c r="B510" s="1"/>
      <c r="C510" s="1"/>
      <c r="D510" s="1"/>
      <c r="E510" s="1"/>
      <c r="F510" s="1"/>
      <c r="G510" s="23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">
      <c r="A511" s="1"/>
      <c r="B511" s="1"/>
      <c r="C511" s="1"/>
      <c r="D511" s="1"/>
      <c r="E511" s="1"/>
      <c r="F511" s="1"/>
      <c r="G511" s="23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">
      <c r="A512" s="1"/>
      <c r="B512" s="1"/>
      <c r="C512" s="1"/>
      <c r="D512" s="1"/>
      <c r="E512" s="1"/>
      <c r="F512" s="1"/>
      <c r="G512" s="23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">
      <c r="A513" s="1"/>
      <c r="B513" s="1"/>
      <c r="C513" s="1"/>
      <c r="D513" s="1"/>
      <c r="E513" s="1"/>
      <c r="F513" s="1"/>
      <c r="G513" s="23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">
      <c r="A514" s="1"/>
      <c r="B514" s="1"/>
      <c r="C514" s="1"/>
      <c r="D514" s="1"/>
      <c r="E514" s="1"/>
      <c r="F514" s="1"/>
      <c r="G514" s="23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">
      <c r="A515" s="1"/>
      <c r="B515" s="1"/>
      <c r="C515" s="1"/>
      <c r="D515" s="1"/>
      <c r="E515" s="1"/>
      <c r="F515" s="1"/>
      <c r="G515" s="23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">
      <c r="A516" s="1"/>
      <c r="B516" s="1"/>
      <c r="C516" s="1"/>
      <c r="D516" s="1"/>
      <c r="E516" s="1"/>
      <c r="F516" s="1"/>
      <c r="G516" s="23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">
      <c r="A517" s="1"/>
      <c r="B517" s="1"/>
      <c r="C517" s="1"/>
      <c r="D517" s="1"/>
      <c r="E517" s="1"/>
      <c r="F517" s="1"/>
      <c r="G517" s="23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">
      <c r="A518" s="1"/>
      <c r="B518" s="1"/>
      <c r="C518" s="1"/>
      <c r="D518" s="1"/>
      <c r="E518" s="1"/>
      <c r="F518" s="1"/>
      <c r="G518" s="23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">
      <c r="A519" s="1"/>
      <c r="B519" s="1"/>
      <c r="C519" s="1"/>
      <c r="D519" s="1"/>
      <c r="E519" s="1"/>
      <c r="F519" s="1"/>
      <c r="G519" s="23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">
      <c r="A520" s="1"/>
      <c r="B520" s="1"/>
      <c r="C520" s="1"/>
      <c r="D520" s="1"/>
      <c r="E520" s="1"/>
      <c r="F520" s="1"/>
      <c r="G520" s="23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">
      <c r="A521" s="1"/>
      <c r="B521" s="1"/>
      <c r="C521" s="1"/>
      <c r="D521" s="1"/>
      <c r="E521" s="1"/>
      <c r="F521" s="1"/>
      <c r="G521" s="23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">
      <c r="A522" s="1"/>
      <c r="B522" s="1"/>
      <c r="C522" s="1"/>
      <c r="D522" s="1"/>
      <c r="E522" s="1"/>
      <c r="F522" s="1"/>
      <c r="G522" s="23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">
      <c r="A523" s="1"/>
      <c r="B523" s="1"/>
      <c r="C523" s="1"/>
      <c r="D523" s="1"/>
      <c r="E523" s="1"/>
      <c r="F523" s="1"/>
      <c r="G523" s="23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">
      <c r="A524" s="1"/>
      <c r="B524" s="1"/>
      <c r="C524" s="1"/>
      <c r="D524" s="1"/>
      <c r="E524" s="1"/>
      <c r="F524" s="1"/>
      <c r="G524" s="23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">
      <c r="A525" s="1"/>
      <c r="B525" s="1"/>
      <c r="C525" s="1"/>
      <c r="D525" s="1"/>
      <c r="E525" s="1"/>
      <c r="F525" s="1"/>
      <c r="G525" s="23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">
      <c r="A526" s="1"/>
      <c r="B526" s="1"/>
      <c r="C526" s="1"/>
      <c r="D526" s="1"/>
      <c r="E526" s="1"/>
      <c r="F526" s="1"/>
      <c r="G526" s="23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">
      <c r="A527" s="1"/>
      <c r="B527" s="1"/>
      <c r="C527" s="1"/>
      <c r="D527" s="1"/>
      <c r="E527" s="1"/>
      <c r="F527" s="1"/>
      <c r="G527" s="23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">
      <c r="A528" s="1"/>
      <c r="B528" s="1"/>
      <c r="C528" s="1"/>
      <c r="D528" s="1"/>
      <c r="E528" s="1"/>
      <c r="F528" s="1"/>
      <c r="G528" s="23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">
      <c r="A529" s="1"/>
      <c r="B529" s="1"/>
      <c r="C529" s="1"/>
      <c r="D529" s="1"/>
      <c r="E529" s="1"/>
      <c r="F529" s="1"/>
      <c r="G529" s="23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">
      <c r="A530" s="1"/>
      <c r="B530" s="1"/>
      <c r="C530" s="1"/>
      <c r="D530" s="1"/>
      <c r="E530" s="1"/>
      <c r="F530" s="1"/>
      <c r="G530" s="23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">
      <c r="A531" s="1"/>
      <c r="B531" s="1"/>
      <c r="C531" s="1"/>
      <c r="D531" s="1"/>
      <c r="E531" s="1"/>
      <c r="F531" s="1"/>
      <c r="G531" s="23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">
      <c r="A532" s="1"/>
      <c r="B532" s="1"/>
      <c r="C532" s="1"/>
      <c r="D532" s="1"/>
      <c r="E532" s="1"/>
      <c r="F532" s="1"/>
      <c r="G532" s="23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">
      <c r="A533" s="1"/>
      <c r="B533" s="1"/>
      <c r="C533" s="1"/>
      <c r="D533" s="1"/>
      <c r="E533" s="1"/>
      <c r="F533" s="1"/>
      <c r="G533" s="23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">
      <c r="A534" s="1"/>
      <c r="B534" s="1"/>
      <c r="C534" s="1"/>
      <c r="D534" s="1"/>
      <c r="E534" s="1"/>
      <c r="F534" s="1"/>
      <c r="G534" s="23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">
      <c r="A535" s="1"/>
      <c r="B535" s="1"/>
      <c r="C535" s="1"/>
      <c r="D535" s="1"/>
      <c r="E535" s="1"/>
      <c r="F535" s="1"/>
      <c r="G535" s="23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">
      <c r="A536" s="1"/>
      <c r="B536" s="1"/>
      <c r="C536" s="1"/>
      <c r="D536" s="1"/>
      <c r="E536" s="1"/>
      <c r="F536" s="1"/>
      <c r="G536" s="23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">
      <c r="A537" s="1"/>
      <c r="B537" s="1"/>
      <c r="C537" s="1"/>
      <c r="D537" s="1"/>
      <c r="E537" s="1"/>
      <c r="F537" s="1"/>
      <c r="G537" s="23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">
      <c r="A538" s="1"/>
      <c r="B538" s="1"/>
      <c r="C538" s="1"/>
      <c r="D538" s="1"/>
      <c r="E538" s="1"/>
      <c r="F538" s="1"/>
      <c r="G538" s="23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">
      <c r="A539" s="1"/>
      <c r="B539" s="1"/>
      <c r="C539" s="1"/>
      <c r="D539" s="1"/>
      <c r="E539" s="1"/>
      <c r="F539" s="1"/>
      <c r="G539" s="23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">
      <c r="A540" s="1"/>
      <c r="B540" s="1"/>
      <c r="C540" s="1"/>
      <c r="D540" s="1"/>
      <c r="E540" s="1"/>
      <c r="F540" s="1"/>
      <c r="G540" s="23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">
      <c r="A541" s="1"/>
      <c r="B541" s="1"/>
      <c r="C541" s="1"/>
      <c r="D541" s="1"/>
      <c r="E541" s="1"/>
      <c r="F541" s="1"/>
      <c r="G541" s="23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">
      <c r="A542" s="1"/>
      <c r="B542" s="1"/>
      <c r="C542" s="1"/>
      <c r="D542" s="1"/>
      <c r="E542" s="1"/>
      <c r="F542" s="1"/>
      <c r="G542" s="23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">
      <c r="A543" s="1"/>
      <c r="B543" s="1"/>
      <c r="C543" s="1"/>
      <c r="D543" s="1"/>
      <c r="E543" s="1"/>
      <c r="F543" s="1"/>
      <c r="G543" s="23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">
      <c r="A544" s="1"/>
      <c r="B544" s="1"/>
      <c r="C544" s="1"/>
      <c r="D544" s="1"/>
      <c r="E544" s="1"/>
      <c r="F544" s="1"/>
      <c r="G544" s="23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">
      <c r="A545" s="1"/>
      <c r="B545" s="1"/>
      <c r="C545" s="1"/>
      <c r="D545" s="1"/>
      <c r="E545" s="1"/>
      <c r="F545" s="1"/>
      <c r="G545" s="23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">
      <c r="A546" s="1"/>
      <c r="B546" s="1"/>
      <c r="C546" s="1"/>
      <c r="D546" s="1"/>
      <c r="E546" s="1"/>
      <c r="F546" s="1"/>
      <c r="G546" s="23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">
      <c r="A547" s="1"/>
      <c r="B547" s="1"/>
      <c r="C547" s="1"/>
      <c r="D547" s="1"/>
      <c r="E547" s="1"/>
      <c r="F547" s="1"/>
      <c r="G547" s="23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">
      <c r="A548" s="1"/>
      <c r="B548" s="1"/>
      <c r="C548" s="1"/>
      <c r="D548" s="1"/>
      <c r="E548" s="1"/>
      <c r="F548" s="1"/>
      <c r="G548" s="23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">
      <c r="A549" s="1"/>
      <c r="B549" s="1"/>
      <c r="C549" s="1"/>
      <c r="D549" s="1"/>
      <c r="E549" s="1"/>
      <c r="F549" s="1"/>
      <c r="G549" s="23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">
      <c r="A550" s="1"/>
      <c r="B550" s="1"/>
      <c r="C550" s="1"/>
      <c r="D550" s="1"/>
      <c r="E550" s="1"/>
      <c r="F550" s="1"/>
      <c r="G550" s="23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">
      <c r="A551" s="1"/>
      <c r="B551" s="1"/>
      <c r="C551" s="1"/>
      <c r="D551" s="1"/>
      <c r="E551" s="1"/>
      <c r="F551" s="1"/>
      <c r="G551" s="23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">
      <c r="A552" s="1"/>
      <c r="B552" s="1"/>
      <c r="C552" s="1"/>
      <c r="D552" s="1"/>
      <c r="E552" s="1"/>
      <c r="F552" s="1"/>
      <c r="G552" s="23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">
      <c r="A553" s="1"/>
      <c r="B553" s="1"/>
      <c r="C553" s="1"/>
      <c r="D553" s="1"/>
      <c r="E553" s="1"/>
      <c r="F553" s="1"/>
      <c r="G553" s="23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">
      <c r="A554" s="1"/>
      <c r="B554" s="1"/>
      <c r="C554" s="1"/>
      <c r="D554" s="1"/>
      <c r="E554" s="1"/>
      <c r="F554" s="1"/>
      <c r="G554" s="23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">
      <c r="A555" s="1"/>
      <c r="B555" s="1"/>
      <c r="C555" s="1"/>
      <c r="D555" s="1"/>
      <c r="E555" s="1"/>
      <c r="F555" s="1"/>
      <c r="G555" s="23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">
      <c r="A556" s="1"/>
      <c r="B556" s="1"/>
      <c r="C556" s="1"/>
      <c r="D556" s="1"/>
      <c r="E556" s="1"/>
      <c r="F556" s="1"/>
      <c r="G556" s="23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">
      <c r="A557" s="1"/>
      <c r="B557" s="1"/>
      <c r="C557" s="1"/>
      <c r="D557" s="1"/>
      <c r="E557" s="1"/>
      <c r="F557" s="1"/>
      <c r="G557" s="23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">
      <c r="A558" s="1"/>
      <c r="B558" s="1"/>
      <c r="C558" s="1"/>
      <c r="D558" s="1"/>
      <c r="E558" s="1"/>
      <c r="F558" s="1"/>
      <c r="G558" s="23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">
      <c r="A559" s="1"/>
      <c r="B559" s="1"/>
      <c r="C559" s="1"/>
      <c r="D559" s="1"/>
      <c r="E559" s="1"/>
      <c r="F559" s="1"/>
      <c r="G559" s="23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">
      <c r="A560" s="1"/>
      <c r="B560" s="1"/>
      <c r="C560" s="1"/>
      <c r="D560" s="1"/>
      <c r="E560" s="1"/>
      <c r="F560" s="1"/>
      <c r="G560" s="23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">
      <c r="A561" s="1"/>
      <c r="B561" s="1"/>
      <c r="C561" s="1"/>
      <c r="D561" s="1"/>
      <c r="E561" s="1"/>
      <c r="F561" s="1"/>
      <c r="G561" s="23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">
      <c r="A562" s="1"/>
      <c r="B562" s="1"/>
      <c r="C562" s="1"/>
      <c r="D562" s="1"/>
      <c r="E562" s="1"/>
      <c r="F562" s="1"/>
      <c r="G562" s="23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">
      <c r="A563" s="1"/>
      <c r="B563" s="1"/>
      <c r="C563" s="1"/>
      <c r="D563" s="1"/>
      <c r="E563" s="1"/>
      <c r="F563" s="1"/>
      <c r="G563" s="23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">
      <c r="A564" s="1"/>
      <c r="B564" s="1"/>
      <c r="C564" s="1"/>
      <c r="D564" s="1"/>
      <c r="E564" s="1"/>
      <c r="F564" s="1"/>
      <c r="G564" s="23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">
      <c r="A565" s="1"/>
      <c r="B565" s="1"/>
      <c r="C565" s="1"/>
      <c r="D565" s="1"/>
      <c r="E565" s="1"/>
      <c r="F565" s="1"/>
      <c r="G565" s="23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">
      <c r="A566" s="1"/>
      <c r="B566" s="1"/>
      <c r="C566" s="1"/>
      <c r="D566" s="1"/>
      <c r="E566" s="1"/>
      <c r="F566" s="1"/>
      <c r="G566" s="23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">
      <c r="A567" s="1"/>
      <c r="B567" s="1"/>
      <c r="C567" s="1"/>
      <c r="D567" s="1"/>
      <c r="E567" s="1"/>
      <c r="F567" s="1"/>
      <c r="G567" s="23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">
      <c r="A568" s="1"/>
      <c r="B568" s="1"/>
      <c r="C568" s="1"/>
      <c r="D568" s="1"/>
      <c r="E568" s="1"/>
      <c r="F568" s="1"/>
      <c r="G568" s="23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">
      <c r="A569" s="1"/>
      <c r="B569" s="1"/>
      <c r="C569" s="1"/>
      <c r="D569" s="1"/>
      <c r="E569" s="1"/>
      <c r="F569" s="1"/>
      <c r="G569" s="23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">
      <c r="A570" s="1"/>
      <c r="B570" s="1"/>
      <c r="C570" s="1"/>
      <c r="D570" s="1"/>
      <c r="E570" s="1"/>
      <c r="F570" s="1"/>
      <c r="G570" s="23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">
      <c r="A571" s="1"/>
      <c r="B571" s="1"/>
      <c r="C571" s="1"/>
      <c r="D571" s="1"/>
      <c r="E571" s="1"/>
      <c r="F571" s="1"/>
      <c r="G571" s="23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">
      <c r="A572" s="1"/>
      <c r="B572" s="1"/>
      <c r="C572" s="1"/>
      <c r="D572" s="1"/>
      <c r="E572" s="1"/>
      <c r="F572" s="1"/>
      <c r="G572" s="23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">
      <c r="A573" s="1"/>
      <c r="B573" s="1"/>
      <c r="C573" s="1"/>
      <c r="D573" s="1"/>
      <c r="E573" s="1"/>
      <c r="F573" s="1"/>
      <c r="G573" s="23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">
      <c r="A574" s="1"/>
      <c r="B574" s="1"/>
      <c r="C574" s="1"/>
      <c r="D574" s="1"/>
      <c r="E574" s="1"/>
      <c r="F574" s="1"/>
      <c r="G574" s="23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">
      <c r="A575" s="1"/>
      <c r="B575" s="1"/>
      <c r="C575" s="1"/>
      <c r="D575" s="1"/>
      <c r="E575" s="1"/>
      <c r="F575" s="1"/>
      <c r="G575" s="23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">
      <c r="A576" s="1"/>
      <c r="B576" s="1"/>
      <c r="C576" s="1"/>
      <c r="D576" s="1"/>
      <c r="E576" s="1"/>
      <c r="F576" s="1"/>
      <c r="G576" s="23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">
      <c r="A577" s="1"/>
      <c r="B577" s="1"/>
      <c r="C577" s="1"/>
      <c r="D577" s="1"/>
      <c r="E577" s="1"/>
      <c r="F577" s="1"/>
      <c r="G577" s="23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">
      <c r="A578" s="1"/>
      <c r="B578" s="1"/>
      <c r="C578" s="1"/>
      <c r="D578" s="1"/>
      <c r="E578" s="1"/>
      <c r="F578" s="1"/>
      <c r="G578" s="23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">
      <c r="A579" s="1"/>
      <c r="B579" s="1"/>
      <c r="C579" s="1"/>
      <c r="D579" s="1"/>
      <c r="E579" s="1"/>
      <c r="F579" s="1"/>
      <c r="G579" s="23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">
      <c r="A580" s="1"/>
      <c r="B580" s="1"/>
      <c r="C580" s="1"/>
      <c r="D580" s="1"/>
      <c r="E580" s="1"/>
      <c r="F580" s="1"/>
      <c r="G580" s="23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">
      <c r="A581" s="1"/>
      <c r="B581" s="1"/>
      <c r="C581" s="1"/>
      <c r="D581" s="1"/>
      <c r="E581" s="1"/>
      <c r="F581" s="1"/>
      <c r="G581" s="23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">
      <c r="A582" s="1"/>
      <c r="B582" s="1"/>
      <c r="C582" s="1"/>
      <c r="D582" s="1"/>
      <c r="E582" s="1"/>
      <c r="F582" s="1"/>
      <c r="G582" s="23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">
      <c r="A583" s="1"/>
      <c r="B583" s="1"/>
      <c r="C583" s="1"/>
      <c r="D583" s="1"/>
      <c r="E583" s="1"/>
      <c r="F583" s="1"/>
      <c r="G583" s="23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">
      <c r="A584" s="1"/>
      <c r="B584" s="1"/>
      <c r="C584" s="1"/>
      <c r="D584" s="1"/>
      <c r="E584" s="1"/>
      <c r="F584" s="1"/>
      <c r="G584" s="23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">
      <c r="A585" s="1"/>
      <c r="B585" s="1"/>
      <c r="C585" s="1"/>
      <c r="D585" s="1"/>
      <c r="E585" s="1"/>
      <c r="F585" s="1"/>
      <c r="G585" s="23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">
      <c r="A586" s="1"/>
      <c r="B586" s="1"/>
      <c r="C586" s="1"/>
      <c r="D586" s="1"/>
      <c r="E586" s="1"/>
      <c r="F586" s="1"/>
      <c r="G586" s="23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">
      <c r="A587" s="1"/>
      <c r="B587" s="1"/>
      <c r="C587" s="1"/>
      <c r="D587" s="1"/>
      <c r="E587" s="1"/>
      <c r="F587" s="1"/>
      <c r="G587" s="23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">
      <c r="A588" s="1"/>
      <c r="B588" s="1"/>
      <c r="C588" s="1"/>
      <c r="D588" s="1"/>
      <c r="E588" s="1"/>
      <c r="F588" s="1"/>
      <c r="G588" s="23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">
      <c r="A589" s="1"/>
      <c r="B589" s="1"/>
      <c r="C589" s="1"/>
      <c r="D589" s="1"/>
      <c r="E589" s="1"/>
      <c r="F589" s="1"/>
      <c r="G589" s="23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">
      <c r="A590" s="1"/>
      <c r="B590" s="1"/>
      <c r="C590" s="1"/>
      <c r="D590" s="1"/>
      <c r="E590" s="1"/>
      <c r="F590" s="1"/>
      <c r="G590" s="23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">
      <c r="A591" s="1"/>
      <c r="B591" s="1"/>
      <c r="C591" s="1"/>
      <c r="D591" s="1"/>
      <c r="E591" s="1"/>
      <c r="F591" s="1"/>
      <c r="G591" s="23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">
      <c r="A592" s="1"/>
      <c r="B592" s="1"/>
      <c r="C592" s="1"/>
      <c r="D592" s="1"/>
      <c r="E592" s="1"/>
      <c r="F592" s="1"/>
      <c r="G592" s="23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">
      <c r="A593" s="1"/>
      <c r="B593" s="1"/>
      <c r="C593" s="1"/>
      <c r="D593" s="1"/>
      <c r="E593" s="1"/>
      <c r="F593" s="1"/>
      <c r="G593" s="23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">
      <c r="A594" s="1"/>
      <c r="B594" s="1"/>
      <c r="C594" s="1"/>
      <c r="D594" s="1"/>
      <c r="E594" s="1"/>
      <c r="F594" s="1"/>
      <c r="G594" s="23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">
      <c r="A595" s="1"/>
      <c r="B595" s="1"/>
      <c r="C595" s="1"/>
      <c r="D595" s="1"/>
      <c r="E595" s="1"/>
      <c r="F595" s="1"/>
      <c r="G595" s="23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">
      <c r="A596" s="1"/>
      <c r="B596" s="1"/>
      <c r="C596" s="1"/>
      <c r="D596" s="1"/>
      <c r="E596" s="1"/>
      <c r="F596" s="1"/>
      <c r="G596" s="23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">
      <c r="A597" s="1"/>
      <c r="B597" s="1"/>
      <c r="C597" s="1"/>
      <c r="D597" s="1"/>
      <c r="E597" s="1"/>
      <c r="F597" s="1"/>
      <c r="G597" s="23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">
      <c r="A598" s="1"/>
      <c r="B598" s="1"/>
      <c r="C598" s="1"/>
      <c r="D598" s="1"/>
      <c r="E598" s="1"/>
      <c r="F598" s="1"/>
      <c r="G598" s="23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">
      <c r="A599" s="1"/>
      <c r="B599" s="1"/>
      <c r="C599" s="1"/>
      <c r="D599" s="1"/>
      <c r="E599" s="1"/>
      <c r="F599" s="1"/>
      <c r="G599" s="23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">
      <c r="A600" s="1"/>
      <c r="B600" s="1"/>
      <c r="C600" s="1"/>
      <c r="D600" s="1"/>
      <c r="E600" s="1"/>
      <c r="F600" s="1"/>
      <c r="G600" s="23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">
      <c r="A601" s="1"/>
      <c r="B601" s="1"/>
      <c r="C601" s="1"/>
      <c r="D601" s="1"/>
      <c r="E601" s="1"/>
      <c r="F601" s="1"/>
      <c r="G601" s="23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">
      <c r="A602" s="1"/>
      <c r="B602" s="1"/>
      <c r="C602" s="1"/>
      <c r="D602" s="1"/>
      <c r="E602" s="1"/>
      <c r="F602" s="1"/>
      <c r="G602" s="23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">
      <c r="A603" s="1"/>
      <c r="B603" s="1"/>
      <c r="C603" s="1"/>
      <c r="D603" s="1"/>
      <c r="E603" s="1"/>
      <c r="F603" s="1"/>
      <c r="G603" s="23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">
      <c r="A604" s="1"/>
      <c r="B604" s="1"/>
      <c r="C604" s="1"/>
      <c r="D604" s="1"/>
      <c r="E604" s="1"/>
      <c r="F604" s="1"/>
      <c r="G604" s="23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">
      <c r="A605" s="1"/>
      <c r="B605" s="1"/>
      <c r="C605" s="1"/>
      <c r="D605" s="1"/>
      <c r="E605" s="1"/>
      <c r="F605" s="1"/>
      <c r="G605" s="23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">
      <c r="A606" s="1"/>
      <c r="B606" s="1"/>
      <c r="C606" s="1"/>
      <c r="D606" s="1"/>
      <c r="E606" s="1"/>
      <c r="F606" s="1"/>
      <c r="G606" s="23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">
      <c r="A607" s="1"/>
      <c r="B607" s="1"/>
      <c r="C607" s="1"/>
      <c r="D607" s="1"/>
      <c r="E607" s="1"/>
      <c r="F607" s="1"/>
      <c r="G607" s="23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">
      <c r="A608" s="1"/>
      <c r="B608" s="1"/>
      <c r="C608" s="1"/>
      <c r="D608" s="1"/>
      <c r="E608" s="1"/>
      <c r="F608" s="1"/>
      <c r="G608" s="23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">
      <c r="A609" s="1"/>
      <c r="B609" s="1"/>
      <c r="C609" s="1"/>
      <c r="D609" s="1"/>
      <c r="E609" s="1"/>
      <c r="F609" s="1"/>
      <c r="G609" s="23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">
      <c r="A610" s="1"/>
      <c r="B610" s="1"/>
      <c r="C610" s="1"/>
      <c r="D610" s="1"/>
      <c r="E610" s="1"/>
      <c r="F610" s="1"/>
      <c r="G610" s="23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">
      <c r="A611" s="1"/>
      <c r="B611" s="1"/>
      <c r="C611" s="1"/>
      <c r="D611" s="1"/>
      <c r="E611" s="1"/>
      <c r="F611" s="1"/>
      <c r="G611" s="23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">
      <c r="A612" s="1"/>
      <c r="B612" s="1"/>
      <c r="C612" s="1"/>
      <c r="D612" s="1"/>
      <c r="E612" s="1"/>
      <c r="F612" s="1"/>
      <c r="G612" s="23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">
      <c r="A613" s="1"/>
      <c r="B613" s="1"/>
      <c r="C613" s="1"/>
      <c r="D613" s="1"/>
      <c r="E613" s="1"/>
      <c r="F613" s="1"/>
      <c r="G613" s="23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">
      <c r="A614" s="1"/>
      <c r="B614" s="1"/>
      <c r="C614" s="1"/>
      <c r="D614" s="1"/>
      <c r="E614" s="1"/>
      <c r="F614" s="1"/>
      <c r="G614" s="23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">
      <c r="A615" s="1"/>
      <c r="B615" s="1"/>
      <c r="C615" s="1"/>
      <c r="D615" s="1"/>
      <c r="E615" s="1"/>
      <c r="F615" s="1"/>
      <c r="G615" s="23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">
      <c r="A616" s="1"/>
      <c r="B616" s="1"/>
      <c r="C616" s="1"/>
      <c r="D616" s="1"/>
      <c r="E616" s="1"/>
      <c r="F616" s="1"/>
      <c r="G616" s="23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">
      <c r="A617" s="1"/>
      <c r="B617" s="1"/>
      <c r="C617" s="1"/>
      <c r="D617" s="1"/>
      <c r="E617" s="1"/>
      <c r="F617" s="1"/>
      <c r="G617" s="23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">
      <c r="A618" s="1"/>
      <c r="B618" s="1"/>
      <c r="C618" s="1"/>
      <c r="D618" s="1"/>
      <c r="E618" s="1"/>
      <c r="F618" s="1"/>
      <c r="G618" s="23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">
      <c r="A619" s="1"/>
      <c r="B619" s="1"/>
      <c r="C619" s="1"/>
      <c r="D619" s="1"/>
      <c r="E619" s="1"/>
      <c r="F619" s="1"/>
      <c r="G619" s="23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">
      <c r="A620" s="1"/>
      <c r="B620" s="1"/>
      <c r="C620" s="1"/>
      <c r="D620" s="1"/>
      <c r="E620" s="1"/>
      <c r="F620" s="1"/>
      <c r="G620" s="23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">
      <c r="A621" s="1"/>
      <c r="B621" s="1"/>
      <c r="C621" s="1"/>
      <c r="D621" s="1"/>
      <c r="E621" s="1"/>
      <c r="F621" s="1"/>
      <c r="G621" s="23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">
      <c r="A622" s="1"/>
      <c r="B622" s="1"/>
      <c r="C622" s="1"/>
      <c r="D622" s="1"/>
      <c r="E622" s="1"/>
      <c r="F622" s="1"/>
      <c r="G622" s="23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">
      <c r="A623" s="1"/>
      <c r="B623" s="1"/>
      <c r="C623" s="1"/>
      <c r="D623" s="1"/>
      <c r="E623" s="1"/>
      <c r="F623" s="1"/>
      <c r="G623" s="23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">
      <c r="A624" s="1"/>
      <c r="B624" s="1"/>
      <c r="C624" s="1"/>
      <c r="D624" s="1"/>
      <c r="E624" s="1"/>
      <c r="F624" s="1"/>
      <c r="G624" s="23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">
      <c r="A625" s="1"/>
      <c r="B625" s="1"/>
      <c r="C625" s="1"/>
      <c r="D625" s="1"/>
      <c r="E625" s="1"/>
      <c r="F625" s="1"/>
      <c r="G625" s="23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">
      <c r="A626" s="1"/>
      <c r="B626" s="1"/>
      <c r="C626" s="1"/>
      <c r="D626" s="1"/>
      <c r="E626" s="1"/>
      <c r="F626" s="1"/>
      <c r="G626" s="23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">
      <c r="A627" s="1"/>
      <c r="B627" s="1"/>
      <c r="C627" s="1"/>
      <c r="D627" s="1"/>
      <c r="E627" s="1"/>
      <c r="F627" s="1"/>
      <c r="G627" s="23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">
      <c r="A628" s="1"/>
      <c r="B628" s="1"/>
      <c r="C628" s="1"/>
      <c r="D628" s="1"/>
      <c r="E628" s="1"/>
      <c r="F628" s="1"/>
      <c r="G628" s="23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">
      <c r="A629" s="1"/>
      <c r="B629" s="1"/>
      <c r="C629" s="1"/>
      <c r="D629" s="1"/>
      <c r="E629" s="1"/>
      <c r="F629" s="1"/>
      <c r="G629" s="23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">
      <c r="A630" s="1"/>
      <c r="B630" s="1"/>
      <c r="C630" s="1"/>
      <c r="D630" s="1"/>
      <c r="E630" s="1"/>
      <c r="F630" s="1"/>
      <c r="G630" s="23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">
      <c r="A631" s="1"/>
      <c r="B631" s="1"/>
      <c r="C631" s="1"/>
      <c r="D631" s="1"/>
      <c r="E631" s="1"/>
      <c r="F631" s="1"/>
      <c r="G631" s="23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">
      <c r="A632" s="1"/>
      <c r="B632" s="1"/>
      <c r="C632" s="1"/>
      <c r="D632" s="1"/>
      <c r="E632" s="1"/>
      <c r="F632" s="1"/>
      <c r="G632" s="23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">
      <c r="A633" s="1"/>
      <c r="B633" s="1"/>
      <c r="C633" s="1"/>
      <c r="D633" s="1"/>
      <c r="E633" s="1"/>
      <c r="F633" s="1"/>
      <c r="G633" s="23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">
      <c r="A634" s="1"/>
      <c r="B634" s="1"/>
      <c r="C634" s="1"/>
      <c r="D634" s="1"/>
      <c r="E634" s="1"/>
      <c r="F634" s="1"/>
      <c r="G634" s="23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">
      <c r="A635" s="1"/>
      <c r="B635" s="1"/>
      <c r="C635" s="1"/>
      <c r="D635" s="1"/>
      <c r="E635" s="1"/>
      <c r="F635" s="1"/>
      <c r="G635" s="23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">
      <c r="A636" s="1"/>
      <c r="B636" s="1"/>
      <c r="C636" s="1"/>
      <c r="D636" s="1"/>
      <c r="E636" s="1"/>
      <c r="F636" s="1"/>
      <c r="G636" s="23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">
      <c r="A637" s="1"/>
      <c r="B637" s="1"/>
      <c r="C637" s="1"/>
      <c r="D637" s="1"/>
      <c r="E637" s="1"/>
      <c r="F637" s="1"/>
      <c r="G637" s="23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">
      <c r="A638" s="1"/>
      <c r="B638" s="1"/>
      <c r="C638" s="1"/>
      <c r="D638" s="1"/>
      <c r="E638" s="1"/>
      <c r="F638" s="1"/>
      <c r="G638" s="23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">
      <c r="A639" s="1"/>
      <c r="B639" s="1"/>
      <c r="C639" s="1"/>
      <c r="D639" s="1"/>
      <c r="E639" s="1"/>
      <c r="F639" s="1"/>
      <c r="G639" s="23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">
      <c r="A640" s="1"/>
      <c r="B640" s="1"/>
      <c r="C640" s="1"/>
      <c r="D640" s="1"/>
      <c r="E640" s="1"/>
      <c r="F640" s="1"/>
      <c r="G640" s="23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">
      <c r="A641" s="1"/>
      <c r="B641" s="1"/>
      <c r="C641" s="1"/>
      <c r="D641" s="1"/>
      <c r="E641" s="1"/>
      <c r="F641" s="1"/>
      <c r="G641" s="23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">
      <c r="A642" s="1"/>
      <c r="B642" s="1"/>
      <c r="C642" s="1"/>
      <c r="D642" s="1"/>
      <c r="E642" s="1"/>
      <c r="F642" s="1"/>
      <c r="G642" s="23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">
      <c r="A643" s="1"/>
      <c r="B643" s="1"/>
      <c r="C643" s="1"/>
      <c r="D643" s="1"/>
      <c r="E643" s="1"/>
      <c r="F643" s="1"/>
      <c r="G643" s="23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">
      <c r="A644" s="1"/>
      <c r="B644" s="1"/>
      <c r="C644" s="1"/>
      <c r="D644" s="1"/>
      <c r="E644" s="1"/>
      <c r="F644" s="1"/>
      <c r="G644" s="23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">
      <c r="A645" s="1"/>
      <c r="B645" s="1"/>
      <c r="C645" s="1"/>
      <c r="D645" s="1"/>
      <c r="E645" s="1"/>
      <c r="F645" s="1"/>
      <c r="G645" s="23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">
      <c r="A646" s="1"/>
      <c r="B646" s="1"/>
      <c r="C646" s="1"/>
      <c r="D646" s="1"/>
      <c r="E646" s="1"/>
      <c r="F646" s="1"/>
      <c r="G646" s="23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">
      <c r="A647" s="1"/>
      <c r="B647" s="1"/>
      <c r="C647" s="1"/>
      <c r="D647" s="1"/>
      <c r="E647" s="1"/>
      <c r="F647" s="1"/>
      <c r="G647" s="23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">
      <c r="A648" s="1"/>
      <c r="B648" s="1"/>
      <c r="C648" s="1"/>
      <c r="D648" s="1"/>
      <c r="E648" s="1"/>
      <c r="F648" s="1"/>
      <c r="G648" s="23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">
      <c r="A649" s="1"/>
      <c r="B649" s="1"/>
      <c r="C649" s="1"/>
      <c r="D649" s="1"/>
      <c r="E649" s="1"/>
      <c r="F649" s="1"/>
      <c r="G649" s="23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">
      <c r="A650" s="1"/>
      <c r="B650" s="1"/>
      <c r="C650" s="1"/>
      <c r="D650" s="1"/>
      <c r="E650" s="1"/>
      <c r="F650" s="1"/>
      <c r="G650" s="23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">
      <c r="A651" s="1"/>
      <c r="B651" s="1"/>
      <c r="C651" s="1"/>
      <c r="D651" s="1"/>
      <c r="E651" s="1"/>
      <c r="F651" s="1"/>
      <c r="G651" s="23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">
      <c r="A652" s="1"/>
      <c r="B652" s="1"/>
      <c r="C652" s="1"/>
      <c r="D652" s="1"/>
      <c r="E652" s="1"/>
      <c r="F652" s="1"/>
      <c r="G652" s="23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">
      <c r="A653" s="1"/>
      <c r="B653" s="1"/>
      <c r="C653" s="1"/>
      <c r="D653" s="1"/>
      <c r="E653" s="1"/>
      <c r="F653" s="1"/>
      <c r="G653" s="23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">
      <c r="A654" s="1"/>
      <c r="B654" s="1"/>
      <c r="C654" s="1"/>
      <c r="D654" s="1"/>
      <c r="E654" s="1"/>
      <c r="F654" s="1"/>
      <c r="G654" s="23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">
      <c r="A655" s="1"/>
      <c r="B655" s="1"/>
      <c r="C655" s="1"/>
      <c r="D655" s="1"/>
      <c r="E655" s="1"/>
      <c r="F655" s="1"/>
      <c r="G655" s="23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">
      <c r="A656" s="1"/>
      <c r="B656" s="1"/>
      <c r="C656" s="1"/>
      <c r="D656" s="1"/>
      <c r="E656" s="1"/>
      <c r="F656" s="1"/>
      <c r="G656" s="23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">
      <c r="A657" s="1"/>
      <c r="B657" s="1"/>
      <c r="C657" s="1"/>
      <c r="D657" s="1"/>
      <c r="E657" s="1"/>
      <c r="F657" s="1"/>
      <c r="G657" s="23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">
      <c r="A658" s="1"/>
      <c r="B658" s="1"/>
      <c r="C658" s="1"/>
      <c r="D658" s="1"/>
      <c r="E658" s="1"/>
      <c r="F658" s="1"/>
      <c r="G658" s="23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">
      <c r="A659" s="1"/>
      <c r="B659" s="1"/>
      <c r="C659" s="1"/>
      <c r="D659" s="1"/>
      <c r="E659" s="1"/>
      <c r="F659" s="1"/>
      <c r="G659" s="23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">
      <c r="A660" s="1"/>
      <c r="B660" s="1"/>
      <c r="C660" s="1"/>
      <c r="D660" s="1"/>
      <c r="E660" s="1"/>
      <c r="F660" s="1"/>
      <c r="G660" s="23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">
      <c r="A661" s="1"/>
      <c r="B661" s="1"/>
      <c r="C661" s="1"/>
      <c r="D661" s="1"/>
      <c r="E661" s="1"/>
      <c r="F661" s="1"/>
      <c r="G661" s="23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">
      <c r="A662" s="1"/>
      <c r="B662" s="1"/>
      <c r="C662" s="1"/>
      <c r="D662" s="1"/>
      <c r="E662" s="1"/>
      <c r="F662" s="1"/>
      <c r="G662" s="23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">
      <c r="A663" s="1"/>
      <c r="B663" s="1"/>
      <c r="C663" s="1"/>
      <c r="D663" s="1"/>
      <c r="E663" s="1"/>
      <c r="F663" s="1"/>
      <c r="G663" s="23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">
      <c r="A664" s="1"/>
      <c r="B664" s="1"/>
      <c r="C664" s="1"/>
      <c r="D664" s="1"/>
      <c r="E664" s="1"/>
      <c r="F664" s="1"/>
      <c r="G664" s="23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">
      <c r="A665" s="1"/>
      <c r="B665" s="1"/>
      <c r="C665" s="1"/>
      <c r="D665" s="1"/>
      <c r="E665" s="1"/>
      <c r="F665" s="1"/>
      <c r="G665" s="23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">
      <c r="A666" s="1"/>
      <c r="B666" s="1"/>
      <c r="C666" s="1"/>
      <c r="D666" s="1"/>
      <c r="E666" s="1"/>
      <c r="F666" s="1"/>
      <c r="G666" s="23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">
      <c r="A667" s="1"/>
      <c r="B667" s="1"/>
      <c r="C667" s="1"/>
      <c r="D667" s="1"/>
      <c r="E667" s="1"/>
      <c r="F667" s="1"/>
      <c r="G667" s="23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">
      <c r="A668" s="1"/>
      <c r="B668" s="1"/>
      <c r="C668" s="1"/>
      <c r="D668" s="1"/>
      <c r="E668" s="1"/>
      <c r="F668" s="1"/>
      <c r="G668" s="23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">
      <c r="A669" s="1"/>
      <c r="B669" s="1"/>
      <c r="C669" s="1"/>
      <c r="D669" s="1"/>
      <c r="E669" s="1"/>
      <c r="F669" s="1"/>
      <c r="G669" s="23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">
      <c r="A670" s="1"/>
      <c r="B670" s="1"/>
      <c r="C670" s="1"/>
      <c r="D670" s="1"/>
      <c r="E670" s="1"/>
      <c r="F670" s="1"/>
      <c r="G670" s="23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">
      <c r="A671" s="1"/>
      <c r="B671" s="1"/>
      <c r="C671" s="1"/>
      <c r="D671" s="1"/>
      <c r="E671" s="1"/>
      <c r="F671" s="1"/>
      <c r="G671" s="23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">
      <c r="A672" s="1"/>
      <c r="B672" s="1"/>
      <c r="C672" s="1"/>
      <c r="D672" s="1"/>
      <c r="E672" s="1"/>
      <c r="F672" s="1"/>
      <c r="G672" s="23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">
      <c r="A673" s="1"/>
      <c r="B673" s="1"/>
      <c r="C673" s="1"/>
      <c r="D673" s="1"/>
      <c r="E673" s="1"/>
      <c r="F673" s="1"/>
      <c r="G673" s="23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">
      <c r="A674" s="1"/>
      <c r="B674" s="1"/>
      <c r="C674" s="1"/>
      <c r="D674" s="1"/>
      <c r="E674" s="1"/>
      <c r="F674" s="1"/>
      <c r="G674" s="23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">
      <c r="A675" s="1"/>
      <c r="B675" s="1"/>
      <c r="C675" s="1"/>
      <c r="D675" s="1"/>
      <c r="E675" s="1"/>
      <c r="F675" s="1"/>
      <c r="G675" s="23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">
      <c r="A676" s="1"/>
      <c r="B676" s="1"/>
      <c r="C676" s="1"/>
      <c r="D676" s="1"/>
      <c r="E676" s="1"/>
      <c r="F676" s="1"/>
      <c r="G676" s="23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">
      <c r="A677" s="1"/>
      <c r="B677" s="1"/>
      <c r="C677" s="1"/>
      <c r="D677" s="1"/>
      <c r="E677" s="1"/>
      <c r="F677" s="1"/>
      <c r="G677" s="23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">
      <c r="A678" s="1"/>
      <c r="B678" s="1"/>
      <c r="C678" s="1"/>
      <c r="D678" s="1"/>
      <c r="E678" s="1"/>
      <c r="F678" s="1"/>
      <c r="G678" s="23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">
      <c r="A679" s="1"/>
      <c r="B679" s="1"/>
      <c r="C679" s="1"/>
      <c r="D679" s="1"/>
      <c r="E679" s="1"/>
      <c r="F679" s="1"/>
      <c r="G679" s="23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">
      <c r="A680" s="1"/>
      <c r="B680" s="1"/>
      <c r="C680" s="1"/>
      <c r="D680" s="1"/>
      <c r="E680" s="1"/>
      <c r="F680" s="1"/>
      <c r="G680" s="23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">
      <c r="A681" s="1"/>
      <c r="B681" s="1"/>
      <c r="C681" s="1"/>
      <c r="D681" s="1"/>
      <c r="E681" s="1"/>
      <c r="F681" s="1"/>
      <c r="G681" s="23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">
      <c r="A682" s="1"/>
      <c r="B682" s="1"/>
      <c r="C682" s="1"/>
      <c r="D682" s="1"/>
      <c r="E682" s="1"/>
      <c r="F682" s="1"/>
      <c r="G682" s="23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">
      <c r="A683" s="1"/>
      <c r="B683" s="1"/>
      <c r="C683" s="1"/>
      <c r="D683" s="1"/>
      <c r="E683" s="1"/>
      <c r="F683" s="1"/>
      <c r="G683" s="23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">
      <c r="A684" s="1"/>
      <c r="B684" s="1"/>
      <c r="C684" s="1"/>
      <c r="D684" s="1"/>
      <c r="E684" s="1"/>
      <c r="F684" s="1"/>
      <c r="G684" s="23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">
      <c r="A685" s="1"/>
      <c r="B685" s="1"/>
      <c r="C685" s="1"/>
      <c r="D685" s="1"/>
      <c r="E685" s="1"/>
      <c r="F685" s="1"/>
      <c r="G685" s="23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">
      <c r="A686" s="1"/>
      <c r="B686" s="1"/>
      <c r="C686" s="1"/>
      <c r="D686" s="1"/>
      <c r="E686" s="1"/>
      <c r="F686" s="1"/>
      <c r="G686" s="23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">
      <c r="A687" s="1"/>
      <c r="B687" s="1"/>
      <c r="C687" s="1"/>
      <c r="D687" s="1"/>
      <c r="E687" s="1"/>
      <c r="F687" s="1"/>
      <c r="G687" s="23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">
      <c r="A688" s="1"/>
      <c r="B688" s="1"/>
      <c r="C688" s="1"/>
      <c r="D688" s="1"/>
      <c r="E688" s="1"/>
      <c r="F688" s="1"/>
      <c r="G688" s="23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">
      <c r="A689" s="1"/>
      <c r="B689" s="1"/>
      <c r="C689" s="1"/>
      <c r="D689" s="1"/>
      <c r="E689" s="1"/>
      <c r="F689" s="1"/>
      <c r="G689" s="23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">
      <c r="A690" s="1"/>
      <c r="B690" s="1"/>
      <c r="C690" s="1"/>
      <c r="D690" s="1"/>
      <c r="E690" s="1"/>
      <c r="F690" s="1"/>
      <c r="G690" s="23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">
      <c r="A691" s="1"/>
      <c r="B691" s="1"/>
      <c r="C691" s="1"/>
      <c r="D691" s="1"/>
      <c r="E691" s="1"/>
      <c r="F691" s="1"/>
      <c r="G691" s="23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">
      <c r="A692" s="1"/>
      <c r="B692" s="1"/>
      <c r="C692" s="1"/>
      <c r="D692" s="1"/>
      <c r="E692" s="1"/>
      <c r="F692" s="1"/>
      <c r="G692" s="23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">
      <c r="A693" s="1"/>
      <c r="B693" s="1"/>
      <c r="C693" s="1"/>
      <c r="D693" s="1"/>
      <c r="E693" s="1"/>
      <c r="F693" s="1"/>
      <c r="G693" s="23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">
      <c r="A694" s="1"/>
      <c r="B694" s="1"/>
      <c r="C694" s="1"/>
      <c r="D694" s="1"/>
      <c r="E694" s="1"/>
      <c r="F694" s="1"/>
      <c r="G694" s="23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">
      <c r="A695" s="1"/>
      <c r="B695" s="1"/>
      <c r="C695" s="1"/>
      <c r="D695" s="1"/>
      <c r="E695" s="1"/>
      <c r="F695" s="1"/>
      <c r="G695" s="23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">
      <c r="A696" s="1"/>
      <c r="B696" s="1"/>
      <c r="C696" s="1"/>
      <c r="D696" s="1"/>
      <c r="E696" s="1"/>
      <c r="F696" s="1"/>
      <c r="G696" s="23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">
      <c r="A697" s="1"/>
      <c r="B697" s="1"/>
      <c r="C697" s="1"/>
      <c r="D697" s="1"/>
      <c r="E697" s="1"/>
      <c r="F697" s="1"/>
      <c r="G697" s="23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">
      <c r="A698" s="1"/>
      <c r="B698" s="1"/>
      <c r="C698" s="1"/>
      <c r="D698" s="1"/>
      <c r="E698" s="1"/>
      <c r="F698" s="1"/>
      <c r="G698" s="23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">
      <c r="A699" s="1"/>
      <c r="B699" s="1"/>
      <c r="C699" s="1"/>
      <c r="D699" s="1"/>
      <c r="E699" s="1"/>
      <c r="F699" s="1"/>
      <c r="G699" s="23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">
      <c r="A700" s="1"/>
      <c r="B700" s="1"/>
      <c r="C700" s="1"/>
      <c r="D700" s="1"/>
      <c r="E700" s="1"/>
      <c r="F700" s="1"/>
      <c r="G700" s="23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">
      <c r="A701" s="1"/>
      <c r="B701" s="1"/>
      <c r="C701" s="1"/>
      <c r="D701" s="1"/>
      <c r="E701" s="1"/>
      <c r="F701" s="1"/>
      <c r="G701" s="23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">
      <c r="A702" s="1"/>
      <c r="B702" s="1"/>
      <c r="C702" s="1"/>
      <c r="D702" s="1"/>
      <c r="E702" s="1"/>
      <c r="F702" s="1"/>
      <c r="G702" s="23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">
      <c r="A703" s="1"/>
      <c r="B703" s="1"/>
      <c r="C703" s="1"/>
      <c r="D703" s="1"/>
      <c r="E703" s="1"/>
      <c r="F703" s="1"/>
      <c r="G703" s="23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">
      <c r="A704" s="1"/>
      <c r="B704" s="1"/>
      <c r="C704" s="1"/>
      <c r="D704" s="1"/>
      <c r="E704" s="1"/>
      <c r="F704" s="1"/>
      <c r="G704" s="23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">
      <c r="A705" s="1"/>
      <c r="B705" s="1"/>
      <c r="C705" s="1"/>
      <c r="D705" s="1"/>
      <c r="E705" s="1"/>
      <c r="F705" s="1"/>
      <c r="G705" s="23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">
      <c r="A706" s="1"/>
      <c r="B706" s="1"/>
      <c r="C706" s="1"/>
      <c r="D706" s="1"/>
      <c r="E706" s="1"/>
      <c r="F706" s="1"/>
      <c r="G706" s="23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">
      <c r="A707" s="1"/>
      <c r="B707" s="1"/>
      <c r="C707" s="1"/>
      <c r="D707" s="1"/>
      <c r="E707" s="1"/>
      <c r="F707" s="1"/>
      <c r="G707" s="23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">
      <c r="A708" s="1"/>
      <c r="B708" s="1"/>
      <c r="C708" s="1"/>
      <c r="D708" s="1"/>
      <c r="E708" s="1"/>
      <c r="F708" s="1"/>
      <c r="G708" s="23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">
      <c r="A709" s="1"/>
      <c r="B709" s="1"/>
      <c r="C709" s="1"/>
      <c r="D709" s="1"/>
      <c r="E709" s="1"/>
      <c r="F709" s="1"/>
      <c r="G709" s="23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">
      <c r="A710" s="1"/>
      <c r="B710" s="1"/>
      <c r="C710" s="1"/>
      <c r="D710" s="1"/>
      <c r="E710" s="1"/>
      <c r="F710" s="1"/>
      <c r="G710" s="23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">
      <c r="A711" s="1"/>
      <c r="B711" s="1"/>
      <c r="C711" s="1"/>
      <c r="D711" s="1"/>
      <c r="E711" s="1"/>
      <c r="F711" s="1"/>
      <c r="G711" s="23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">
      <c r="A712" s="1"/>
      <c r="B712" s="1"/>
      <c r="C712" s="1"/>
      <c r="D712" s="1"/>
      <c r="E712" s="1"/>
      <c r="F712" s="1"/>
      <c r="G712" s="23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">
      <c r="A713" s="1"/>
      <c r="B713" s="1"/>
      <c r="C713" s="1"/>
      <c r="D713" s="1"/>
      <c r="E713" s="1"/>
      <c r="F713" s="1"/>
      <c r="G713" s="23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">
      <c r="A714" s="1"/>
      <c r="B714" s="1"/>
      <c r="C714" s="1"/>
      <c r="D714" s="1"/>
      <c r="E714" s="1"/>
      <c r="F714" s="1"/>
      <c r="G714" s="23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">
      <c r="A715" s="1"/>
      <c r="B715" s="1"/>
      <c r="C715" s="1"/>
      <c r="D715" s="1"/>
      <c r="E715" s="1"/>
      <c r="F715" s="1"/>
      <c r="G715" s="23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">
      <c r="A716" s="1"/>
      <c r="B716" s="1"/>
      <c r="C716" s="1"/>
      <c r="D716" s="1"/>
      <c r="E716" s="1"/>
      <c r="F716" s="1"/>
      <c r="G716" s="23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">
      <c r="A717" s="1"/>
      <c r="B717" s="1"/>
      <c r="C717" s="1"/>
      <c r="D717" s="1"/>
      <c r="E717" s="1"/>
      <c r="F717" s="1"/>
      <c r="G717" s="23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">
      <c r="A718" s="1"/>
      <c r="B718" s="1"/>
      <c r="C718" s="1"/>
      <c r="D718" s="1"/>
      <c r="E718" s="1"/>
      <c r="F718" s="1"/>
      <c r="G718" s="23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">
      <c r="A719" s="1"/>
      <c r="B719" s="1"/>
      <c r="C719" s="1"/>
      <c r="D719" s="1"/>
      <c r="E719" s="1"/>
      <c r="F719" s="1"/>
      <c r="G719" s="23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">
      <c r="A720" s="1"/>
      <c r="B720" s="1"/>
      <c r="C720" s="1"/>
      <c r="D720" s="1"/>
      <c r="E720" s="1"/>
      <c r="F720" s="1"/>
      <c r="G720" s="23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">
      <c r="A721" s="1"/>
      <c r="B721" s="1"/>
      <c r="C721" s="1"/>
      <c r="D721" s="1"/>
      <c r="E721" s="1"/>
      <c r="F721" s="1"/>
      <c r="G721" s="23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">
      <c r="A722" s="1"/>
      <c r="B722" s="1"/>
      <c r="C722" s="1"/>
      <c r="D722" s="1"/>
      <c r="E722" s="1"/>
      <c r="F722" s="1"/>
      <c r="G722" s="23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">
      <c r="A723" s="1"/>
      <c r="B723" s="1"/>
      <c r="C723" s="1"/>
      <c r="D723" s="1"/>
      <c r="E723" s="1"/>
      <c r="F723" s="1"/>
      <c r="G723" s="23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">
      <c r="A724" s="1"/>
      <c r="B724" s="1"/>
      <c r="C724" s="1"/>
      <c r="D724" s="1"/>
      <c r="E724" s="1"/>
      <c r="F724" s="1"/>
      <c r="G724" s="23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">
      <c r="A725" s="1"/>
      <c r="B725" s="1"/>
      <c r="C725" s="1"/>
      <c r="D725" s="1"/>
      <c r="E725" s="1"/>
      <c r="F725" s="1"/>
      <c r="G725" s="23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">
      <c r="A726" s="1"/>
      <c r="B726" s="1"/>
      <c r="C726" s="1"/>
      <c r="D726" s="1"/>
      <c r="E726" s="1"/>
      <c r="F726" s="1"/>
      <c r="G726" s="23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">
      <c r="A727" s="1"/>
      <c r="B727" s="1"/>
      <c r="C727" s="1"/>
      <c r="D727" s="1"/>
      <c r="E727" s="1"/>
      <c r="F727" s="1"/>
      <c r="G727" s="23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">
      <c r="A728" s="1"/>
      <c r="B728" s="1"/>
      <c r="C728" s="1"/>
      <c r="D728" s="1"/>
      <c r="E728" s="1"/>
      <c r="F728" s="1"/>
      <c r="G728" s="23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">
      <c r="A729" s="1"/>
      <c r="B729" s="1"/>
      <c r="C729" s="1"/>
      <c r="D729" s="1"/>
      <c r="E729" s="1"/>
      <c r="F729" s="1"/>
      <c r="G729" s="23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">
      <c r="A730" s="1"/>
      <c r="B730" s="1"/>
      <c r="C730" s="1"/>
      <c r="D730" s="1"/>
      <c r="E730" s="1"/>
      <c r="F730" s="1"/>
      <c r="G730" s="23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">
      <c r="A731" s="1"/>
      <c r="B731" s="1"/>
      <c r="C731" s="1"/>
      <c r="D731" s="1"/>
      <c r="E731" s="1"/>
      <c r="F731" s="1"/>
      <c r="G731" s="23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">
      <c r="A732" s="1"/>
      <c r="B732" s="1"/>
      <c r="C732" s="1"/>
      <c r="D732" s="1"/>
      <c r="E732" s="1"/>
      <c r="F732" s="1"/>
      <c r="G732" s="23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">
      <c r="A733" s="1"/>
      <c r="B733" s="1"/>
      <c r="C733" s="1"/>
      <c r="D733" s="1"/>
      <c r="E733" s="1"/>
      <c r="F733" s="1"/>
      <c r="G733" s="23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">
      <c r="A734" s="1"/>
      <c r="B734" s="1"/>
      <c r="C734" s="1"/>
      <c r="D734" s="1"/>
      <c r="E734" s="1"/>
      <c r="F734" s="1"/>
      <c r="G734" s="23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">
      <c r="A735" s="1"/>
      <c r="B735" s="1"/>
      <c r="C735" s="1"/>
      <c r="D735" s="1"/>
      <c r="E735" s="1"/>
      <c r="F735" s="1"/>
      <c r="G735" s="23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">
      <c r="A736" s="1"/>
      <c r="B736" s="1"/>
      <c r="C736" s="1"/>
      <c r="D736" s="1"/>
      <c r="E736" s="1"/>
      <c r="F736" s="1"/>
      <c r="G736" s="23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">
      <c r="A737" s="1"/>
      <c r="B737" s="1"/>
      <c r="C737" s="1"/>
      <c r="D737" s="1"/>
      <c r="E737" s="1"/>
      <c r="F737" s="1"/>
      <c r="G737" s="23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">
      <c r="A738" s="1"/>
      <c r="B738" s="1"/>
      <c r="C738" s="1"/>
      <c r="D738" s="1"/>
      <c r="E738" s="1"/>
      <c r="F738" s="1"/>
      <c r="G738" s="23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">
      <c r="A739" s="1"/>
      <c r="B739" s="1"/>
      <c r="C739" s="1"/>
      <c r="D739" s="1"/>
      <c r="E739" s="1"/>
      <c r="F739" s="1"/>
      <c r="G739" s="23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">
      <c r="A740" s="1"/>
      <c r="B740" s="1"/>
      <c r="C740" s="1"/>
      <c r="D740" s="1"/>
      <c r="E740" s="1"/>
      <c r="F740" s="1"/>
      <c r="G740" s="23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">
      <c r="A741" s="1"/>
      <c r="B741" s="1"/>
      <c r="C741" s="1"/>
      <c r="D741" s="1"/>
      <c r="E741" s="1"/>
      <c r="F741" s="1"/>
      <c r="G741" s="23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">
      <c r="A742" s="1"/>
      <c r="B742" s="1"/>
      <c r="C742" s="1"/>
      <c r="D742" s="1"/>
      <c r="E742" s="1"/>
      <c r="F742" s="1"/>
      <c r="G742" s="23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">
      <c r="A743" s="1"/>
      <c r="B743" s="1"/>
      <c r="C743" s="1"/>
      <c r="D743" s="1"/>
      <c r="E743" s="1"/>
      <c r="F743" s="1"/>
      <c r="G743" s="23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">
      <c r="A744" s="1"/>
      <c r="B744" s="1"/>
      <c r="C744" s="1"/>
      <c r="D744" s="1"/>
      <c r="E744" s="1"/>
      <c r="F744" s="1"/>
      <c r="G744" s="23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">
      <c r="A745" s="1"/>
      <c r="B745" s="1"/>
      <c r="C745" s="1"/>
      <c r="D745" s="1"/>
      <c r="E745" s="1"/>
      <c r="F745" s="1"/>
      <c r="G745" s="23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">
      <c r="A746" s="1"/>
      <c r="B746" s="1"/>
      <c r="C746" s="1"/>
      <c r="D746" s="1"/>
      <c r="E746" s="1"/>
      <c r="F746" s="1"/>
      <c r="G746" s="23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">
      <c r="A747" s="1"/>
      <c r="B747" s="1"/>
      <c r="C747" s="1"/>
      <c r="D747" s="1"/>
      <c r="E747" s="1"/>
      <c r="F747" s="1"/>
      <c r="G747" s="23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">
      <c r="A748" s="1"/>
      <c r="B748" s="1"/>
      <c r="C748" s="1"/>
      <c r="D748" s="1"/>
      <c r="E748" s="1"/>
      <c r="F748" s="1"/>
      <c r="G748" s="23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">
      <c r="A749" s="1"/>
      <c r="B749" s="1"/>
      <c r="C749" s="1"/>
      <c r="D749" s="1"/>
      <c r="E749" s="1"/>
      <c r="F749" s="1"/>
      <c r="G749" s="23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">
      <c r="A750" s="1"/>
      <c r="B750" s="1"/>
      <c r="C750" s="1"/>
      <c r="D750" s="1"/>
      <c r="E750" s="1"/>
      <c r="F750" s="1"/>
      <c r="G750" s="23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">
      <c r="A751" s="1"/>
      <c r="B751" s="1"/>
      <c r="C751" s="1"/>
      <c r="D751" s="1"/>
      <c r="E751" s="1"/>
      <c r="F751" s="1"/>
      <c r="G751" s="23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">
      <c r="A752" s="1"/>
      <c r="B752" s="1"/>
      <c r="C752" s="1"/>
      <c r="D752" s="1"/>
      <c r="E752" s="1"/>
      <c r="F752" s="1"/>
      <c r="G752" s="23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">
      <c r="A753" s="1"/>
      <c r="B753" s="1"/>
      <c r="C753" s="1"/>
      <c r="D753" s="1"/>
      <c r="E753" s="1"/>
      <c r="F753" s="1"/>
      <c r="G753" s="23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">
      <c r="A754" s="1"/>
      <c r="B754" s="1"/>
      <c r="C754" s="1"/>
      <c r="D754" s="1"/>
      <c r="E754" s="1"/>
      <c r="F754" s="1"/>
      <c r="G754" s="23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">
      <c r="A755" s="1"/>
      <c r="B755" s="1"/>
      <c r="C755" s="1"/>
      <c r="D755" s="1"/>
      <c r="E755" s="1"/>
      <c r="F755" s="1"/>
      <c r="G755" s="23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">
      <c r="A756" s="1"/>
      <c r="B756" s="1"/>
      <c r="C756" s="1"/>
      <c r="D756" s="1"/>
      <c r="E756" s="1"/>
      <c r="F756" s="1"/>
      <c r="G756" s="23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">
      <c r="A757" s="1"/>
      <c r="B757" s="1"/>
      <c r="C757" s="1"/>
      <c r="D757" s="1"/>
      <c r="E757" s="1"/>
      <c r="F757" s="1"/>
      <c r="G757" s="23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">
      <c r="A758" s="1"/>
      <c r="B758" s="1"/>
      <c r="C758" s="1"/>
      <c r="D758" s="1"/>
      <c r="E758" s="1"/>
      <c r="F758" s="1"/>
      <c r="G758" s="23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">
      <c r="A759" s="1"/>
      <c r="B759" s="1"/>
      <c r="C759" s="1"/>
      <c r="D759" s="1"/>
      <c r="E759" s="1"/>
      <c r="F759" s="1"/>
      <c r="G759" s="23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">
      <c r="A760" s="1"/>
      <c r="B760" s="1"/>
      <c r="C760" s="1"/>
      <c r="D760" s="1"/>
      <c r="E760" s="1"/>
      <c r="F760" s="1"/>
      <c r="G760" s="23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">
      <c r="A761" s="1"/>
      <c r="B761" s="1"/>
      <c r="C761" s="1"/>
      <c r="D761" s="1"/>
      <c r="E761" s="1"/>
      <c r="F761" s="1"/>
      <c r="G761" s="23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">
      <c r="A762" s="1"/>
      <c r="B762" s="1"/>
      <c r="C762" s="1"/>
      <c r="D762" s="1"/>
      <c r="E762" s="1"/>
      <c r="F762" s="1"/>
      <c r="G762" s="23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">
      <c r="A763" s="1"/>
      <c r="B763" s="1"/>
      <c r="C763" s="1"/>
      <c r="D763" s="1"/>
      <c r="E763" s="1"/>
      <c r="F763" s="1"/>
      <c r="G763" s="23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">
      <c r="A764" s="1"/>
      <c r="B764" s="1"/>
      <c r="C764" s="1"/>
      <c r="D764" s="1"/>
      <c r="E764" s="1"/>
      <c r="F764" s="1"/>
      <c r="G764" s="23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">
      <c r="A765" s="1"/>
      <c r="B765" s="1"/>
      <c r="C765" s="1"/>
      <c r="D765" s="1"/>
      <c r="E765" s="1"/>
      <c r="F765" s="1"/>
      <c r="G765" s="23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">
      <c r="A766" s="1"/>
      <c r="B766" s="1"/>
      <c r="C766" s="1"/>
      <c r="D766" s="1"/>
      <c r="E766" s="1"/>
      <c r="F766" s="1"/>
      <c r="G766" s="23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">
      <c r="A767" s="1"/>
      <c r="B767" s="1"/>
      <c r="C767" s="1"/>
      <c r="D767" s="1"/>
      <c r="E767" s="1"/>
      <c r="F767" s="1"/>
      <c r="G767" s="23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">
      <c r="A768" s="1"/>
      <c r="B768" s="1"/>
      <c r="C768" s="1"/>
      <c r="D768" s="1"/>
      <c r="E768" s="1"/>
      <c r="F768" s="1"/>
      <c r="G768" s="23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">
      <c r="A769" s="1"/>
      <c r="B769" s="1"/>
      <c r="C769" s="1"/>
      <c r="D769" s="1"/>
      <c r="E769" s="1"/>
      <c r="F769" s="1"/>
      <c r="G769" s="23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">
      <c r="A770" s="1"/>
      <c r="B770" s="1"/>
      <c r="C770" s="1"/>
      <c r="D770" s="1"/>
      <c r="E770" s="1"/>
      <c r="F770" s="1"/>
      <c r="G770" s="23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">
      <c r="A771" s="1"/>
      <c r="B771" s="1"/>
      <c r="C771" s="1"/>
      <c r="D771" s="1"/>
      <c r="E771" s="1"/>
      <c r="F771" s="1"/>
      <c r="G771" s="23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">
      <c r="A772" s="1"/>
      <c r="B772" s="1"/>
      <c r="C772" s="1"/>
      <c r="D772" s="1"/>
      <c r="E772" s="1"/>
      <c r="F772" s="1"/>
      <c r="G772" s="23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">
      <c r="A773" s="1"/>
      <c r="B773" s="1"/>
      <c r="C773" s="1"/>
      <c r="D773" s="1"/>
      <c r="E773" s="1"/>
      <c r="F773" s="1"/>
      <c r="G773" s="23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">
      <c r="A774" s="1"/>
      <c r="B774" s="1"/>
      <c r="C774" s="1"/>
      <c r="D774" s="1"/>
      <c r="E774" s="1"/>
      <c r="F774" s="1"/>
      <c r="G774" s="23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">
      <c r="A775" s="1"/>
      <c r="B775" s="1"/>
      <c r="C775" s="1"/>
      <c r="D775" s="1"/>
      <c r="E775" s="1"/>
      <c r="F775" s="1"/>
      <c r="G775" s="23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">
      <c r="A776" s="1"/>
      <c r="B776" s="1"/>
      <c r="C776" s="1"/>
      <c r="D776" s="1"/>
      <c r="E776" s="1"/>
      <c r="F776" s="1"/>
      <c r="G776" s="23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">
      <c r="A777" s="1"/>
      <c r="B777" s="1"/>
      <c r="C777" s="1"/>
      <c r="D777" s="1"/>
      <c r="E777" s="1"/>
      <c r="F777" s="1"/>
      <c r="G777" s="23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">
      <c r="A778" s="1"/>
      <c r="B778" s="1"/>
      <c r="C778" s="1"/>
      <c r="D778" s="1"/>
      <c r="E778" s="1"/>
      <c r="F778" s="1"/>
      <c r="G778" s="23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">
      <c r="A779" s="1"/>
      <c r="B779" s="1"/>
      <c r="C779" s="1"/>
      <c r="D779" s="1"/>
      <c r="E779" s="1"/>
      <c r="F779" s="1"/>
      <c r="G779" s="23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">
      <c r="A780" s="1"/>
      <c r="B780" s="1"/>
      <c r="C780" s="1"/>
      <c r="D780" s="1"/>
      <c r="E780" s="1"/>
      <c r="F780" s="1"/>
      <c r="G780" s="23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">
      <c r="A781" s="1"/>
      <c r="B781" s="1"/>
      <c r="C781" s="1"/>
      <c r="D781" s="1"/>
      <c r="E781" s="1"/>
      <c r="F781" s="1"/>
      <c r="G781" s="23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">
      <c r="A782" s="1"/>
      <c r="B782" s="1"/>
      <c r="C782" s="1"/>
      <c r="D782" s="1"/>
      <c r="E782" s="1"/>
      <c r="F782" s="1"/>
      <c r="G782" s="23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">
      <c r="A783" s="1"/>
      <c r="B783" s="1"/>
      <c r="C783" s="1"/>
      <c r="D783" s="1"/>
      <c r="E783" s="1"/>
      <c r="F783" s="1"/>
      <c r="G783" s="23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">
      <c r="A784" s="1"/>
      <c r="B784" s="1"/>
      <c r="C784" s="1"/>
      <c r="D784" s="1"/>
      <c r="E784" s="1"/>
      <c r="F784" s="1"/>
      <c r="G784" s="23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">
      <c r="A785" s="1"/>
      <c r="B785" s="1"/>
      <c r="C785" s="1"/>
      <c r="D785" s="1"/>
      <c r="E785" s="1"/>
      <c r="F785" s="1"/>
      <c r="G785" s="23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">
      <c r="A786" s="1"/>
      <c r="B786" s="1"/>
      <c r="C786" s="1"/>
      <c r="D786" s="1"/>
      <c r="E786" s="1"/>
      <c r="F786" s="1"/>
      <c r="G786" s="23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">
      <c r="A787" s="1"/>
      <c r="B787" s="1"/>
      <c r="C787" s="1"/>
      <c r="D787" s="1"/>
      <c r="E787" s="1"/>
      <c r="F787" s="1"/>
      <c r="G787" s="23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">
      <c r="A788" s="1"/>
      <c r="B788" s="1"/>
      <c r="C788" s="1"/>
      <c r="D788" s="1"/>
      <c r="E788" s="1"/>
      <c r="F788" s="1"/>
      <c r="G788" s="23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">
      <c r="A789" s="1"/>
      <c r="B789" s="1"/>
      <c r="C789" s="1"/>
      <c r="D789" s="1"/>
      <c r="E789" s="1"/>
      <c r="F789" s="1"/>
      <c r="G789" s="23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">
      <c r="A790" s="1"/>
      <c r="B790" s="1"/>
      <c r="C790" s="1"/>
      <c r="D790" s="1"/>
      <c r="E790" s="1"/>
      <c r="F790" s="1"/>
      <c r="G790" s="23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">
      <c r="A791" s="1"/>
      <c r="B791" s="1"/>
      <c r="C791" s="1"/>
      <c r="D791" s="1"/>
      <c r="E791" s="1"/>
      <c r="F791" s="1"/>
      <c r="G791" s="23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">
      <c r="A792" s="1"/>
      <c r="B792" s="1"/>
      <c r="C792" s="1"/>
      <c r="D792" s="1"/>
      <c r="E792" s="1"/>
      <c r="F792" s="1"/>
      <c r="G792" s="23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">
      <c r="A793" s="1"/>
      <c r="B793" s="1"/>
      <c r="C793" s="1"/>
      <c r="D793" s="1"/>
      <c r="E793" s="1"/>
      <c r="F793" s="1"/>
      <c r="G793" s="23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">
      <c r="A794" s="1"/>
      <c r="B794" s="1"/>
      <c r="C794" s="1"/>
      <c r="D794" s="1"/>
      <c r="E794" s="1"/>
      <c r="F794" s="1"/>
      <c r="G794" s="23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">
      <c r="A795" s="1"/>
      <c r="B795" s="1"/>
      <c r="C795" s="1"/>
      <c r="D795" s="1"/>
      <c r="E795" s="1"/>
      <c r="F795" s="1"/>
      <c r="G795" s="23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">
      <c r="A796" s="1"/>
      <c r="B796" s="1"/>
      <c r="C796" s="1"/>
      <c r="D796" s="1"/>
      <c r="E796" s="1"/>
      <c r="F796" s="1"/>
      <c r="G796" s="23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">
      <c r="A797" s="1"/>
      <c r="B797" s="1"/>
      <c r="C797" s="1"/>
      <c r="D797" s="1"/>
      <c r="E797" s="1"/>
      <c r="F797" s="1"/>
      <c r="G797" s="23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">
      <c r="A798" s="1"/>
      <c r="B798" s="1"/>
      <c r="C798" s="1"/>
      <c r="D798" s="1"/>
      <c r="E798" s="1"/>
      <c r="F798" s="1"/>
      <c r="G798" s="23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">
      <c r="A799" s="1"/>
      <c r="B799" s="1"/>
      <c r="C799" s="1"/>
      <c r="D799" s="1"/>
      <c r="E799" s="1"/>
      <c r="F799" s="1"/>
      <c r="G799" s="23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">
      <c r="A800" s="1"/>
      <c r="B800" s="1"/>
      <c r="C800" s="1"/>
      <c r="D800" s="1"/>
      <c r="E800" s="1"/>
      <c r="F800" s="1"/>
      <c r="G800" s="23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">
      <c r="A801" s="1"/>
      <c r="B801" s="1"/>
      <c r="C801" s="1"/>
      <c r="D801" s="1"/>
      <c r="E801" s="1"/>
      <c r="F801" s="1"/>
      <c r="G801" s="23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">
      <c r="A802" s="1"/>
      <c r="B802" s="1"/>
      <c r="C802" s="1"/>
      <c r="D802" s="1"/>
      <c r="E802" s="1"/>
      <c r="F802" s="1"/>
      <c r="G802" s="23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">
      <c r="A803" s="1"/>
      <c r="B803" s="1"/>
      <c r="C803" s="1"/>
      <c r="D803" s="1"/>
      <c r="E803" s="1"/>
      <c r="F803" s="1"/>
      <c r="G803" s="23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">
      <c r="A804" s="1"/>
      <c r="B804" s="1"/>
      <c r="C804" s="1"/>
      <c r="D804" s="1"/>
      <c r="E804" s="1"/>
      <c r="F804" s="1"/>
      <c r="G804" s="23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">
      <c r="A805" s="1"/>
      <c r="B805" s="1"/>
      <c r="C805" s="1"/>
      <c r="D805" s="1"/>
      <c r="E805" s="1"/>
      <c r="F805" s="1"/>
      <c r="G805" s="23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">
      <c r="A806" s="1"/>
      <c r="B806" s="1"/>
      <c r="C806" s="1"/>
      <c r="D806" s="1"/>
      <c r="E806" s="1"/>
      <c r="F806" s="1"/>
      <c r="G806" s="23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">
      <c r="A807" s="1"/>
      <c r="B807" s="1"/>
      <c r="C807" s="1"/>
      <c r="D807" s="1"/>
      <c r="E807" s="1"/>
      <c r="F807" s="1"/>
      <c r="G807" s="23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">
      <c r="A808" s="1"/>
      <c r="B808" s="1"/>
      <c r="C808" s="1"/>
      <c r="D808" s="1"/>
      <c r="E808" s="1"/>
      <c r="F808" s="1"/>
      <c r="G808" s="23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">
      <c r="A809" s="1"/>
      <c r="B809" s="1"/>
      <c r="C809" s="1"/>
      <c r="D809" s="1"/>
      <c r="E809" s="1"/>
      <c r="F809" s="1"/>
      <c r="G809" s="23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">
      <c r="A810" s="1"/>
      <c r="B810" s="1"/>
      <c r="C810" s="1"/>
      <c r="D810" s="1"/>
      <c r="E810" s="1"/>
      <c r="F810" s="1"/>
      <c r="G810" s="23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">
      <c r="A811" s="1"/>
      <c r="B811" s="1"/>
      <c r="C811" s="1"/>
      <c r="D811" s="1"/>
      <c r="E811" s="1"/>
      <c r="F811" s="1"/>
      <c r="G811" s="23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">
      <c r="A812" s="1"/>
      <c r="B812" s="1"/>
      <c r="C812" s="1"/>
      <c r="D812" s="1"/>
      <c r="E812" s="1"/>
      <c r="F812" s="1"/>
      <c r="G812" s="23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">
      <c r="A813" s="1"/>
      <c r="B813" s="1"/>
      <c r="C813" s="1"/>
      <c r="D813" s="1"/>
      <c r="E813" s="1"/>
      <c r="F813" s="1"/>
      <c r="G813" s="23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">
      <c r="A814" s="1"/>
      <c r="B814" s="1"/>
      <c r="C814" s="1"/>
      <c r="D814" s="1"/>
      <c r="E814" s="1"/>
      <c r="F814" s="1"/>
      <c r="G814" s="23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">
      <c r="A815" s="1"/>
      <c r="B815" s="1"/>
      <c r="C815" s="1"/>
      <c r="D815" s="1"/>
      <c r="E815" s="1"/>
      <c r="F815" s="1"/>
      <c r="G815" s="23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">
      <c r="A816" s="1"/>
      <c r="B816" s="1"/>
      <c r="C816" s="1"/>
      <c r="D816" s="1"/>
      <c r="E816" s="1"/>
      <c r="F816" s="1"/>
      <c r="G816" s="23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">
      <c r="A817" s="1"/>
      <c r="B817" s="1"/>
      <c r="C817" s="1"/>
      <c r="D817" s="1"/>
      <c r="E817" s="1"/>
      <c r="F817" s="1"/>
      <c r="G817" s="23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">
      <c r="A818" s="1"/>
      <c r="B818" s="1"/>
      <c r="C818" s="1"/>
      <c r="D818" s="1"/>
      <c r="E818" s="1"/>
      <c r="F818" s="1"/>
      <c r="G818" s="23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">
      <c r="A819" s="1"/>
      <c r="B819" s="1"/>
      <c r="C819" s="1"/>
      <c r="D819" s="1"/>
      <c r="E819" s="1"/>
      <c r="F819" s="1"/>
      <c r="G819" s="23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">
      <c r="A820" s="1"/>
      <c r="B820" s="1"/>
      <c r="C820" s="1"/>
      <c r="D820" s="1"/>
      <c r="E820" s="1"/>
      <c r="F820" s="1"/>
      <c r="G820" s="23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">
      <c r="A821" s="1"/>
      <c r="B821" s="1"/>
      <c r="C821" s="1"/>
      <c r="D821" s="1"/>
      <c r="E821" s="1"/>
      <c r="F821" s="1"/>
      <c r="G821" s="23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">
      <c r="A822" s="1"/>
      <c r="B822" s="1"/>
      <c r="C822" s="1"/>
      <c r="D822" s="1"/>
      <c r="E822" s="1"/>
      <c r="F822" s="1"/>
      <c r="G822" s="23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">
      <c r="A823" s="1"/>
      <c r="B823" s="1"/>
      <c r="C823" s="1"/>
      <c r="D823" s="1"/>
      <c r="E823" s="1"/>
      <c r="F823" s="1"/>
      <c r="G823" s="23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">
      <c r="A824" s="1"/>
      <c r="B824" s="1"/>
      <c r="C824" s="1"/>
      <c r="D824" s="1"/>
      <c r="E824" s="1"/>
      <c r="F824" s="1"/>
      <c r="G824" s="23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">
      <c r="A825" s="1"/>
      <c r="B825" s="1"/>
      <c r="C825" s="1"/>
      <c r="D825" s="1"/>
      <c r="E825" s="1"/>
      <c r="F825" s="1"/>
      <c r="G825" s="23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">
      <c r="A826" s="1"/>
      <c r="B826" s="1"/>
      <c r="C826" s="1"/>
      <c r="D826" s="1"/>
      <c r="E826" s="1"/>
      <c r="F826" s="1"/>
      <c r="G826" s="23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">
      <c r="A827" s="1"/>
      <c r="B827" s="1"/>
      <c r="C827" s="1"/>
      <c r="D827" s="1"/>
      <c r="E827" s="1"/>
      <c r="F827" s="1"/>
      <c r="G827" s="23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">
      <c r="A828" s="1"/>
      <c r="B828" s="1"/>
      <c r="C828" s="1"/>
      <c r="D828" s="1"/>
      <c r="E828" s="1"/>
      <c r="F828" s="1"/>
      <c r="G828" s="23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">
      <c r="A829" s="1"/>
      <c r="B829" s="1"/>
      <c r="C829" s="1"/>
      <c r="D829" s="1"/>
      <c r="E829" s="1"/>
      <c r="F829" s="1"/>
      <c r="G829" s="23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">
      <c r="A830" s="1"/>
      <c r="B830" s="1"/>
      <c r="C830" s="1"/>
      <c r="D830" s="1"/>
      <c r="E830" s="1"/>
      <c r="F830" s="1"/>
      <c r="G830" s="23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">
      <c r="A831" s="1"/>
      <c r="B831" s="1"/>
      <c r="C831" s="1"/>
      <c r="D831" s="1"/>
      <c r="E831" s="1"/>
      <c r="F831" s="1"/>
      <c r="G831" s="23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">
      <c r="A832" s="1"/>
      <c r="B832" s="1"/>
      <c r="C832" s="1"/>
      <c r="D832" s="1"/>
      <c r="E832" s="1"/>
      <c r="F832" s="1"/>
      <c r="G832" s="23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">
      <c r="A833" s="1"/>
      <c r="B833" s="1"/>
      <c r="C833" s="1"/>
      <c r="D833" s="1"/>
      <c r="E833" s="1"/>
      <c r="F833" s="1"/>
      <c r="G833" s="23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">
      <c r="A834" s="1"/>
      <c r="B834" s="1"/>
      <c r="C834" s="1"/>
      <c r="D834" s="1"/>
      <c r="E834" s="1"/>
      <c r="F834" s="1"/>
      <c r="G834" s="23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">
      <c r="A835" s="1"/>
      <c r="B835" s="1"/>
      <c r="C835" s="1"/>
      <c r="D835" s="1"/>
      <c r="E835" s="1"/>
      <c r="F835" s="1"/>
      <c r="G835" s="23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">
      <c r="A836" s="1"/>
      <c r="B836" s="1"/>
      <c r="C836" s="1"/>
      <c r="D836" s="1"/>
      <c r="E836" s="1"/>
      <c r="F836" s="1"/>
      <c r="G836" s="23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">
      <c r="A837" s="1"/>
      <c r="B837" s="1"/>
      <c r="C837" s="1"/>
      <c r="D837" s="1"/>
      <c r="E837" s="1"/>
      <c r="F837" s="1"/>
      <c r="G837" s="23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">
      <c r="A838" s="1"/>
      <c r="B838" s="1"/>
      <c r="C838" s="1"/>
      <c r="D838" s="1"/>
      <c r="E838" s="1"/>
      <c r="F838" s="1"/>
      <c r="G838" s="23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">
      <c r="A839" s="1"/>
      <c r="B839" s="1"/>
      <c r="C839" s="1"/>
      <c r="D839" s="1"/>
      <c r="E839" s="1"/>
      <c r="F839" s="1"/>
      <c r="G839" s="23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">
      <c r="A840" s="1"/>
      <c r="B840" s="1"/>
      <c r="C840" s="1"/>
      <c r="D840" s="1"/>
      <c r="E840" s="1"/>
      <c r="F840" s="1"/>
      <c r="G840" s="23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">
      <c r="A841" s="1"/>
      <c r="B841" s="1"/>
      <c r="C841" s="1"/>
      <c r="D841" s="1"/>
      <c r="E841" s="1"/>
      <c r="F841" s="1"/>
      <c r="G841" s="23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">
      <c r="A842" s="1"/>
      <c r="B842" s="1"/>
      <c r="C842" s="1"/>
      <c r="D842" s="1"/>
      <c r="E842" s="1"/>
      <c r="F842" s="1"/>
      <c r="G842" s="23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">
      <c r="A843" s="1"/>
      <c r="B843" s="1"/>
      <c r="C843" s="1"/>
      <c r="D843" s="1"/>
      <c r="E843" s="1"/>
      <c r="F843" s="1"/>
      <c r="G843" s="23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">
      <c r="A844" s="1"/>
      <c r="B844" s="1"/>
      <c r="C844" s="1"/>
      <c r="D844" s="1"/>
      <c r="E844" s="1"/>
      <c r="F844" s="1"/>
      <c r="G844" s="23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">
      <c r="A845" s="1"/>
      <c r="B845" s="1"/>
      <c r="C845" s="1"/>
      <c r="D845" s="1"/>
      <c r="E845" s="1"/>
      <c r="F845" s="1"/>
      <c r="G845" s="23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">
      <c r="A846" s="1"/>
      <c r="B846" s="1"/>
      <c r="C846" s="1"/>
      <c r="D846" s="1"/>
      <c r="E846" s="1"/>
      <c r="F846" s="1"/>
      <c r="G846" s="23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">
      <c r="A847" s="1"/>
      <c r="B847" s="1"/>
      <c r="C847" s="1"/>
      <c r="D847" s="1"/>
      <c r="E847" s="1"/>
      <c r="F847" s="1"/>
      <c r="G847" s="23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">
      <c r="A848" s="1"/>
      <c r="B848" s="1"/>
      <c r="C848" s="1"/>
      <c r="D848" s="1"/>
      <c r="E848" s="1"/>
      <c r="F848" s="1"/>
      <c r="G848" s="23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">
      <c r="A849" s="1"/>
      <c r="B849" s="1"/>
      <c r="C849" s="1"/>
      <c r="D849" s="1"/>
      <c r="E849" s="1"/>
      <c r="F849" s="1"/>
      <c r="G849" s="23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">
      <c r="A850" s="1"/>
      <c r="B850" s="1"/>
      <c r="C850" s="1"/>
      <c r="D850" s="1"/>
      <c r="E850" s="1"/>
      <c r="F850" s="1"/>
      <c r="G850" s="23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">
      <c r="A851" s="1"/>
      <c r="B851" s="1"/>
      <c r="C851" s="1"/>
      <c r="D851" s="1"/>
      <c r="E851" s="1"/>
      <c r="F851" s="1"/>
      <c r="G851" s="23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">
      <c r="A852" s="1"/>
      <c r="B852" s="1"/>
      <c r="C852" s="1"/>
      <c r="D852" s="1"/>
      <c r="E852" s="1"/>
      <c r="F852" s="1"/>
      <c r="G852" s="23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">
      <c r="A853" s="1"/>
      <c r="B853" s="1"/>
      <c r="C853" s="1"/>
      <c r="D853" s="1"/>
      <c r="E853" s="1"/>
      <c r="F853" s="1"/>
      <c r="G853" s="23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">
      <c r="A854" s="1"/>
      <c r="B854" s="1"/>
      <c r="C854" s="1"/>
      <c r="D854" s="1"/>
      <c r="E854" s="1"/>
      <c r="F854" s="1"/>
      <c r="G854" s="23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">
      <c r="A855" s="1"/>
      <c r="B855" s="1"/>
      <c r="C855" s="1"/>
      <c r="D855" s="1"/>
      <c r="E855" s="1"/>
      <c r="F855" s="1"/>
      <c r="G855" s="23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">
      <c r="A856" s="1"/>
      <c r="B856" s="1"/>
      <c r="C856" s="1"/>
      <c r="D856" s="1"/>
      <c r="E856" s="1"/>
      <c r="F856" s="1"/>
      <c r="G856" s="23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">
      <c r="A857" s="1"/>
      <c r="B857" s="1"/>
      <c r="C857" s="1"/>
      <c r="D857" s="1"/>
      <c r="E857" s="1"/>
      <c r="F857" s="1"/>
      <c r="G857" s="23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">
      <c r="A858" s="1"/>
      <c r="B858" s="1"/>
      <c r="C858" s="1"/>
      <c r="D858" s="1"/>
      <c r="E858" s="1"/>
      <c r="F858" s="1"/>
      <c r="G858" s="23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">
      <c r="A859" s="1"/>
      <c r="B859" s="1"/>
      <c r="C859" s="1"/>
      <c r="D859" s="1"/>
      <c r="E859" s="1"/>
      <c r="F859" s="1"/>
      <c r="G859" s="23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">
      <c r="A860" s="1"/>
      <c r="B860" s="1"/>
      <c r="C860" s="1"/>
      <c r="D860" s="1"/>
      <c r="E860" s="1"/>
      <c r="F860" s="1"/>
      <c r="G860" s="23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">
      <c r="A861" s="1"/>
      <c r="B861" s="1"/>
      <c r="C861" s="1"/>
      <c r="D861" s="1"/>
      <c r="E861" s="1"/>
      <c r="F861" s="1"/>
      <c r="G861" s="23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">
      <c r="A862" s="1"/>
      <c r="B862" s="1"/>
      <c r="C862" s="1"/>
      <c r="D862" s="1"/>
      <c r="E862" s="1"/>
      <c r="F862" s="1"/>
      <c r="G862" s="23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">
      <c r="A863" s="1"/>
      <c r="B863" s="1"/>
      <c r="C863" s="1"/>
      <c r="D863" s="1"/>
      <c r="E863" s="1"/>
      <c r="F863" s="1"/>
      <c r="G863" s="23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">
      <c r="A864" s="1"/>
      <c r="B864" s="1"/>
      <c r="C864" s="1"/>
      <c r="D864" s="1"/>
      <c r="E864" s="1"/>
      <c r="F864" s="1"/>
      <c r="G864" s="23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">
      <c r="A865" s="1"/>
      <c r="B865" s="1"/>
      <c r="C865" s="1"/>
      <c r="D865" s="1"/>
      <c r="E865" s="1"/>
      <c r="F865" s="1"/>
      <c r="G865" s="23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">
      <c r="A866" s="1"/>
      <c r="B866" s="1"/>
      <c r="C866" s="1"/>
      <c r="D866" s="1"/>
      <c r="E866" s="1"/>
      <c r="F866" s="1"/>
      <c r="G866" s="23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">
      <c r="A867" s="1"/>
      <c r="B867" s="1"/>
      <c r="C867" s="1"/>
      <c r="D867" s="1"/>
      <c r="E867" s="1"/>
      <c r="F867" s="1"/>
      <c r="G867" s="23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">
      <c r="A868" s="1"/>
      <c r="B868" s="1"/>
      <c r="C868" s="1"/>
      <c r="D868" s="1"/>
      <c r="E868" s="1"/>
      <c r="F868" s="1"/>
      <c r="G868" s="23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">
      <c r="A869" s="1"/>
      <c r="B869" s="1"/>
      <c r="C869" s="1"/>
      <c r="D869" s="1"/>
      <c r="E869" s="1"/>
      <c r="F869" s="1"/>
      <c r="G869" s="23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">
      <c r="A870" s="1"/>
      <c r="B870" s="1"/>
      <c r="C870" s="1"/>
      <c r="D870" s="1"/>
      <c r="E870" s="1"/>
      <c r="F870" s="1"/>
      <c r="G870" s="23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">
      <c r="A871" s="1"/>
      <c r="B871" s="1"/>
      <c r="C871" s="1"/>
      <c r="D871" s="1"/>
      <c r="E871" s="1"/>
      <c r="F871" s="1"/>
      <c r="G871" s="23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">
      <c r="A872" s="1"/>
      <c r="B872" s="1"/>
      <c r="C872" s="1"/>
      <c r="D872" s="1"/>
      <c r="E872" s="1"/>
      <c r="F872" s="1"/>
      <c r="G872" s="23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">
      <c r="A873" s="1"/>
      <c r="B873" s="1"/>
      <c r="C873" s="1"/>
      <c r="D873" s="1"/>
      <c r="E873" s="1"/>
      <c r="F873" s="1"/>
      <c r="G873" s="23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">
      <c r="A874" s="1"/>
      <c r="B874" s="1"/>
      <c r="C874" s="1"/>
      <c r="D874" s="1"/>
      <c r="E874" s="1"/>
      <c r="F874" s="1"/>
      <c r="G874" s="23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">
      <c r="A875" s="1"/>
      <c r="B875" s="1"/>
      <c r="C875" s="1"/>
      <c r="D875" s="1"/>
      <c r="E875" s="1"/>
      <c r="F875" s="1"/>
      <c r="G875" s="23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">
      <c r="A876" s="1"/>
      <c r="B876" s="1"/>
      <c r="C876" s="1"/>
      <c r="D876" s="1"/>
      <c r="E876" s="1"/>
      <c r="F876" s="1"/>
      <c r="G876" s="23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">
      <c r="A877" s="1"/>
      <c r="B877" s="1"/>
      <c r="C877" s="1"/>
      <c r="D877" s="1"/>
      <c r="E877" s="1"/>
      <c r="F877" s="1"/>
      <c r="G877" s="23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">
      <c r="A878" s="1"/>
      <c r="B878" s="1"/>
      <c r="C878" s="1"/>
      <c r="D878" s="1"/>
      <c r="E878" s="1"/>
      <c r="F878" s="1"/>
      <c r="G878" s="23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">
      <c r="A879" s="1"/>
      <c r="B879" s="1"/>
      <c r="C879" s="1"/>
      <c r="D879" s="1"/>
      <c r="E879" s="1"/>
      <c r="F879" s="1"/>
      <c r="G879" s="23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">
      <c r="A880" s="1"/>
      <c r="B880" s="1"/>
      <c r="C880" s="1"/>
      <c r="D880" s="1"/>
      <c r="E880" s="1"/>
      <c r="F880" s="1"/>
      <c r="G880" s="23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">
      <c r="A881" s="1"/>
      <c r="B881" s="1"/>
      <c r="C881" s="1"/>
      <c r="D881" s="1"/>
      <c r="E881" s="1"/>
      <c r="F881" s="1"/>
      <c r="G881" s="23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">
      <c r="A882" s="1"/>
      <c r="B882" s="1"/>
      <c r="C882" s="1"/>
      <c r="D882" s="1"/>
      <c r="E882" s="1"/>
      <c r="F882" s="1"/>
      <c r="G882" s="23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">
      <c r="A883" s="1"/>
      <c r="B883" s="1"/>
      <c r="C883" s="1"/>
      <c r="D883" s="1"/>
      <c r="E883" s="1"/>
      <c r="F883" s="1"/>
      <c r="G883" s="23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">
      <c r="A884" s="1"/>
      <c r="B884" s="1"/>
      <c r="C884" s="1"/>
      <c r="D884" s="1"/>
      <c r="E884" s="1"/>
      <c r="F884" s="1"/>
      <c r="G884" s="23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">
      <c r="A885" s="1"/>
      <c r="B885" s="1"/>
      <c r="C885" s="1"/>
      <c r="D885" s="1"/>
      <c r="E885" s="1"/>
      <c r="F885" s="1"/>
      <c r="G885" s="23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">
      <c r="A886" s="1"/>
      <c r="B886" s="1"/>
      <c r="C886" s="1"/>
      <c r="D886" s="1"/>
      <c r="E886" s="1"/>
      <c r="F886" s="1"/>
      <c r="G886" s="23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">
      <c r="A887" s="1"/>
      <c r="B887" s="1"/>
      <c r="C887" s="1"/>
      <c r="D887" s="1"/>
      <c r="E887" s="1"/>
      <c r="F887" s="1"/>
      <c r="G887" s="23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">
      <c r="A888" s="1"/>
      <c r="B888" s="1"/>
      <c r="C888" s="1"/>
      <c r="D888" s="1"/>
      <c r="E888" s="1"/>
      <c r="F888" s="1"/>
      <c r="G888" s="23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">
      <c r="A889" s="1"/>
      <c r="B889" s="1"/>
      <c r="C889" s="1"/>
      <c r="D889" s="1"/>
      <c r="E889" s="1"/>
      <c r="F889" s="1"/>
      <c r="G889" s="23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">
      <c r="A890" s="1"/>
      <c r="B890" s="1"/>
      <c r="C890" s="1"/>
      <c r="D890" s="1"/>
      <c r="E890" s="1"/>
      <c r="F890" s="1"/>
      <c r="G890" s="23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">
      <c r="A891" s="1"/>
      <c r="B891" s="1"/>
      <c r="C891" s="1"/>
      <c r="D891" s="1"/>
      <c r="E891" s="1"/>
      <c r="F891" s="1"/>
      <c r="G891" s="23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">
      <c r="A892" s="1"/>
      <c r="B892" s="1"/>
      <c r="C892" s="1"/>
      <c r="D892" s="1"/>
      <c r="E892" s="1"/>
      <c r="F892" s="1"/>
      <c r="G892" s="23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">
      <c r="A893" s="1"/>
      <c r="B893" s="1"/>
      <c r="C893" s="1"/>
      <c r="D893" s="1"/>
      <c r="E893" s="1"/>
      <c r="F893" s="1"/>
      <c r="G893" s="23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">
      <c r="A894" s="1"/>
      <c r="B894" s="1"/>
      <c r="C894" s="1"/>
      <c r="D894" s="1"/>
      <c r="E894" s="1"/>
      <c r="F894" s="1"/>
      <c r="G894" s="23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">
      <c r="A895" s="1"/>
      <c r="B895" s="1"/>
      <c r="C895" s="1"/>
      <c r="D895" s="1"/>
      <c r="E895" s="1"/>
      <c r="F895" s="1"/>
      <c r="G895" s="23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">
      <c r="A896" s="1"/>
      <c r="B896" s="1"/>
      <c r="C896" s="1"/>
      <c r="D896" s="1"/>
      <c r="E896" s="1"/>
      <c r="F896" s="1"/>
      <c r="G896" s="23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">
      <c r="A897" s="1"/>
      <c r="B897" s="1"/>
      <c r="C897" s="1"/>
      <c r="D897" s="1"/>
      <c r="E897" s="1"/>
      <c r="F897" s="1"/>
      <c r="G897" s="23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">
      <c r="A898" s="1"/>
      <c r="B898" s="1"/>
      <c r="C898" s="1"/>
      <c r="D898" s="1"/>
      <c r="E898" s="1"/>
      <c r="F898" s="1"/>
      <c r="G898" s="23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">
      <c r="A899" s="1"/>
      <c r="B899" s="1"/>
      <c r="C899" s="1"/>
      <c r="D899" s="1"/>
      <c r="E899" s="1"/>
      <c r="F899" s="1"/>
      <c r="G899" s="23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">
      <c r="A900" s="1"/>
      <c r="B900" s="1"/>
      <c r="C900" s="1"/>
      <c r="D900" s="1"/>
      <c r="E900" s="1"/>
      <c r="F900" s="1"/>
      <c r="G900" s="23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">
      <c r="A901" s="1"/>
      <c r="B901" s="1"/>
      <c r="C901" s="1"/>
      <c r="D901" s="1"/>
      <c r="E901" s="1"/>
      <c r="F901" s="1"/>
      <c r="G901" s="23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">
      <c r="A902" s="1"/>
      <c r="B902" s="1"/>
      <c r="C902" s="1"/>
      <c r="D902" s="1"/>
      <c r="E902" s="1"/>
      <c r="F902" s="1"/>
      <c r="G902" s="23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">
      <c r="A903" s="1"/>
      <c r="B903" s="1"/>
      <c r="C903" s="1"/>
      <c r="D903" s="1"/>
      <c r="E903" s="1"/>
      <c r="F903" s="1"/>
      <c r="G903" s="23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">
      <c r="A904" s="1"/>
      <c r="B904" s="1"/>
      <c r="C904" s="1"/>
      <c r="D904" s="1"/>
      <c r="E904" s="1"/>
      <c r="F904" s="1"/>
      <c r="G904" s="23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">
      <c r="A905" s="1"/>
      <c r="B905" s="1"/>
      <c r="C905" s="1"/>
      <c r="D905" s="1"/>
      <c r="E905" s="1"/>
      <c r="F905" s="1"/>
      <c r="G905" s="23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">
      <c r="A906" s="1"/>
      <c r="B906" s="1"/>
      <c r="C906" s="1"/>
      <c r="D906" s="1"/>
      <c r="E906" s="1"/>
      <c r="F906" s="1"/>
      <c r="G906" s="23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">
      <c r="A907" s="1"/>
      <c r="B907" s="1"/>
      <c r="C907" s="1"/>
      <c r="D907" s="1"/>
      <c r="E907" s="1"/>
      <c r="F907" s="1"/>
      <c r="G907" s="23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">
      <c r="A908" s="1"/>
      <c r="B908" s="1"/>
      <c r="C908" s="1"/>
      <c r="D908" s="1"/>
      <c r="E908" s="1"/>
      <c r="F908" s="1"/>
      <c r="G908" s="23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">
      <c r="A909" s="1"/>
      <c r="B909" s="1"/>
      <c r="C909" s="1"/>
      <c r="D909" s="1"/>
      <c r="E909" s="1"/>
      <c r="F909" s="1"/>
      <c r="G909" s="23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">
      <c r="A910" s="1"/>
      <c r="B910" s="1"/>
      <c r="C910" s="1"/>
      <c r="D910" s="1"/>
      <c r="E910" s="1"/>
      <c r="F910" s="1"/>
      <c r="G910" s="23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">
      <c r="A911" s="1"/>
      <c r="B911" s="1"/>
      <c r="C911" s="1"/>
      <c r="D911" s="1"/>
      <c r="E911" s="1"/>
      <c r="F911" s="1"/>
      <c r="G911" s="23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">
      <c r="A912" s="1"/>
      <c r="B912" s="1"/>
      <c r="C912" s="1"/>
      <c r="D912" s="1"/>
      <c r="E912" s="1"/>
      <c r="F912" s="1"/>
      <c r="G912" s="23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">
      <c r="A913" s="1"/>
      <c r="B913" s="1"/>
      <c r="C913" s="1"/>
      <c r="D913" s="1"/>
      <c r="E913" s="1"/>
      <c r="F913" s="1"/>
      <c r="G913" s="23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">
      <c r="A914" s="1"/>
      <c r="B914" s="1"/>
      <c r="C914" s="1"/>
      <c r="D914" s="1"/>
      <c r="E914" s="1"/>
      <c r="F914" s="1"/>
      <c r="G914" s="23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">
      <c r="A915" s="1"/>
      <c r="B915" s="1"/>
      <c r="C915" s="1"/>
      <c r="D915" s="1"/>
      <c r="E915" s="1"/>
      <c r="F915" s="1"/>
      <c r="G915" s="23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">
      <c r="A916" s="1"/>
      <c r="B916" s="1"/>
      <c r="C916" s="1"/>
      <c r="D916" s="1"/>
      <c r="E916" s="1"/>
      <c r="F916" s="1"/>
      <c r="G916" s="23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">
      <c r="A917" s="1"/>
      <c r="B917" s="1"/>
      <c r="C917" s="1"/>
      <c r="D917" s="1"/>
      <c r="E917" s="1"/>
      <c r="F917" s="1"/>
      <c r="G917" s="23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">
      <c r="A918" s="1"/>
      <c r="B918" s="1"/>
      <c r="C918" s="1"/>
      <c r="D918" s="1"/>
      <c r="E918" s="1"/>
      <c r="F918" s="1"/>
      <c r="G918" s="23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">
      <c r="A919" s="1"/>
      <c r="B919" s="1"/>
      <c r="C919" s="1"/>
      <c r="D919" s="1"/>
      <c r="E919" s="1"/>
      <c r="F919" s="1"/>
      <c r="G919" s="23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">
      <c r="A920" s="1"/>
      <c r="B920" s="1"/>
      <c r="C920" s="1"/>
      <c r="D920" s="1"/>
      <c r="E920" s="1"/>
      <c r="F920" s="1"/>
      <c r="G920" s="23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">
      <c r="A921" s="1"/>
      <c r="B921" s="1"/>
      <c r="C921" s="1"/>
      <c r="D921" s="1"/>
      <c r="E921" s="1"/>
      <c r="F921" s="1"/>
      <c r="G921" s="23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">
      <c r="A922" s="1"/>
      <c r="B922" s="1"/>
      <c r="C922" s="1"/>
      <c r="D922" s="1"/>
      <c r="E922" s="1"/>
      <c r="F922" s="1"/>
      <c r="G922" s="23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">
      <c r="A923" s="1"/>
      <c r="B923" s="1"/>
      <c r="C923" s="1"/>
      <c r="D923" s="1"/>
      <c r="E923" s="1"/>
      <c r="F923" s="1"/>
      <c r="G923" s="23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">
      <c r="A924" s="1"/>
      <c r="B924" s="1"/>
      <c r="C924" s="1"/>
      <c r="D924" s="1"/>
      <c r="E924" s="1"/>
      <c r="F924" s="1"/>
      <c r="G924" s="23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">
      <c r="A925" s="1"/>
      <c r="B925" s="1"/>
      <c r="C925" s="1"/>
      <c r="D925" s="1"/>
      <c r="E925" s="1"/>
      <c r="F925" s="1"/>
      <c r="G925" s="23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">
      <c r="A926" s="1"/>
      <c r="B926" s="1"/>
      <c r="C926" s="1"/>
      <c r="D926" s="1"/>
      <c r="E926" s="1"/>
      <c r="F926" s="1"/>
      <c r="G926" s="23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">
      <c r="A927" s="1"/>
      <c r="B927" s="1"/>
      <c r="C927" s="1"/>
      <c r="D927" s="1"/>
      <c r="E927" s="1"/>
      <c r="F927" s="1"/>
      <c r="G927" s="23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">
      <c r="A928" s="1"/>
      <c r="B928" s="1"/>
      <c r="C928" s="1"/>
      <c r="D928" s="1"/>
      <c r="E928" s="1"/>
      <c r="F928" s="1"/>
      <c r="G928" s="23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">
      <c r="A929" s="1"/>
      <c r="B929" s="1"/>
      <c r="C929" s="1"/>
      <c r="D929" s="1"/>
      <c r="E929" s="1"/>
      <c r="F929" s="1"/>
      <c r="G929" s="23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">
      <c r="A930" s="1"/>
      <c r="B930" s="1"/>
      <c r="C930" s="1"/>
      <c r="D930" s="1"/>
      <c r="E930" s="1"/>
      <c r="F930" s="1"/>
      <c r="G930" s="23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">
      <c r="A931" s="1"/>
      <c r="B931" s="1"/>
      <c r="C931" s="1"/>
      <c r="D931" s="1"/>
      <c r="E931" s="1"/>
      <c r="F931" s="1"/>
      <c r="G931" s="23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">
      <c r="A932" s="1"/>
      <c r="B932" s="1"/>
      <c r="C932" s="1"/>
      <c r="D932" s="1"/>
      <c r="E932" s="1"/>
      <c r="F932" s="1"/>
      <c r="G932" s="23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">
      <c r="A933" s="1"/>
      <c r="B933" s="1"/>
      <c r="C933" s="1"/>
      <c r="D933" s="1"/>
      <c r="E933" s="1"/>
      <c r="F933" s="1"/>
      <c r="G933" s="23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">
      <c r="A934" s="1"/>
      <c r="B934" s="1"/>
      <c r="C934" s="1"/>
      <c r="D934" s="1"/>
      <c r="E934" s="1"/>
      <c r="F934" s="1"/>
      <c r="G934" s="23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">
      <c r="A935" s="1"/>
      <c r="B935" s="1"/>
      <c r="C935" s="1"/>
      <c r="D935" s="1"/>
      <c r="E935" s="1"/>
      <c r="F935" s="1"/>
      <c r="G935" s="23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">
      <c r="A936" s="1"/>
      <c r="B936" s="1"/>
      <c r="C936" s="1"/>
      <c r="D936" s="1"/>
      <c r="E936" s="1"/>
      <c r="F936" s="1"/>
      <c r="G936" s="23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">
      <c r="A937" s="1"/>
      <c r="B937" s="1"/>
      <c r="C937" s="1"/>
      <c r="D937" s="1"/>
      <c r="E937" s="1"/>
      <c r="F937" s="1"/>
      <c r="G937" s="23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">
      <c r="A938" s="1"/>
      <c r="B938" s="1"/>
      <c r="C938" s="1"/>
      <c r="D938" s="1"/>
      <c r="E938" s="1"/>
      <c r="F938" s="1"/>
      <c r="G938" s="23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">
      <c r="A939" s="1"/>
      <c r="B939" s="1"/>
      <c r="C939" s="1"/>
      <c r="D939" s="1"/>
      <c r="E939" s="1"/>
      <c r="F939" s="1"/>
      <c r="G939" s="23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">
      <c r="A940" s="1"/>
      <c r="B940" s="1"/>
      <c r="C940" s="1"/>
      <c r="D940" s="1"/>
      <c r="E940" s="1"/>
      <c r="F940" s="1"/>
      <c r="G940" s="23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">
      <c r="A941" s="1"/>
      <c r="B941" s="1"/>
      <c r="C941" s="1"/>
      <c r="D941" s="1"/>
      <c r="E941" s="1"/>
      <c r="F941" s="1"/>
      <c r="G941" s="23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">
      <c r="A942" s="1"/>
      <c r="B942" s="1"/>
      <c r="C942" s="1"/>
      <c r="D942" s="1"/>
      <c r="E942" s="1"/>
      <c r="F942" s="1"/>
      <c r="G942" s="23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">
      <c r="A943" s="1"/>
      <c r="B943" s="1"/>
      <c r="C943" s="1"/>
      <c r="D943" s="1"/>
      <c r="E943" s="1"/>
      <c r="F943" s="1"/>
      <c r="G943" s="23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">
      <c r="A944" s="1"/>
      <c r="B944" s="1"/>
      <c r="C944" s="1"/>
      <c r="D944" s="1"/>
      <c r="E944" s="1"/>
      <c r="F944" s="1"/>
      <c r="G944" s="23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">
      <c r="A945" s="1"/>
      <c r="B945" s="1"/>
      <c r="C945" s="1"/>
      <c r="D945" s="1"/>
      <c r="E945" s="1"/>
      <c r="F945" s="1"/>
      <c r="G945" s="23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">
      <c r="A946" s="1"/>
      <c r="B946" s="1"/>
      <c r="C946" s="1"/>
      <c r="D946" s="1"/>
      <c r="E946" s="1"/>
      <c r="F946" s="1"/>
      <c r="G946" s="23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">
      <c r="A947" s="1"/>
      <c r="B947" s="1"/>
      <c r="C947" s="1"/>
      <c r="D947" s="1"/>
      <c r="E947" s="1"/>
      <c r="F947" s="1"/>
      <c r="G947" s="23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">
      <c r="A948" s="1"/>
      <c r="B948" s="1"/>
      <c r="C948" s="1"/>
      <c r="D948" s="1"/>
      <c r="E948" s="1"/>
      <c r="F948" s="1"/>
      <c r="G948" s="23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">
      <c r="A949" s="1"/>
      <c r="B949" s="1"/>
      <c r="C949" s="1"/>
      <c r="D949" s="1"/>
      <c r="E949" s="1"/>
      <c r="F949" s="1"/>
      <c r="G949" s="23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">
      <c r="A950" s="1"/>
      <c r="B950" s="1"/>
      <c r="C950" s="1"/>
      <c r="D950" s="1"/>
      <c r="E950" s="1"/>
      <c r="F950" s="1"/>
      <c r="G950" s="23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">
      <c r="A951" s="1"/>
      <c r="B951" s="1"/>
      <c r="C951" s="1"/>
      <c r="D951" s="1"/>
      <c r="E951" s="1"/>
      <c r="F951" s="1"/>
      <c r="G951" s="23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">
      <c r="A952" s="1"/>
      <c r="B952" s="1"/>
      <c r="C952" s="1"/>
      <c r="D952" s="1"/>
      <c r="E952" s="1"/>
      <c r="F952" s="1"/>
      <c r="G952" s="23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">
      <c r="A953" s="1"/>
      <c r="B953" s="1"/>
      <c r="C953" s="1"/>
      <c r="D953" s="1"/>
      <c r="E953" s="1"/>
      <c r="F953" s="1"/>
      <c r="G953" s="23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">
      <c r="A954" s="1"/>
      <c r="B954" s="1"/>
      <c r="C954" s="1"/>
      <c r="D954" s="1"/>
      <c r="E954" s="1"/>
      <c r="F954" s="1"/>
      <c r="G954" s="23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">
      <c r="A955" s="1"/>
      <c r="B955" s="1"/>
      <c r="C955" s="1"/>
      <c r="D955" s="1"/>
      <c r="E955" s="1"/>
      <c r="F955" s="1"/>
      <c r="G955" s="23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">
      <c r="A956" s="1"/>
      <c r="B956" s="1"/>
      <c r="C956" s="1"/>
      <c r="D956" s="1"/>
      <c r="E956" s="1"/>
      <c r="F956" s="1"/>
      <c r="G956" s="23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">
      <c r="A957" s="1"/>
      <c r="B957" s="1"/>
      <c r="C957" s="1"/>
      <c r="D957" s="1"/>
      <c r="E957" s="1"/>
      <c r="F957" s="1"/>
      <c r="G957" s="23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">
      <c r="A958" s="1"/>
      <c r="B958" s="1"/>
      <c r="C958" s="1"/>
      <c r="D958" s="1"/>
      <c r="E958" s="1"/>
      <c r="F958" s="1"/>
      <c r="G958" s="23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">
      <c r="A959" s="1"/>
      <c r="B959" s="1"/>
      <c r="C959" s="1"/>
      <c r="D959" s="1"/>
      <c r="E959" s="1"/>
      <c r="F959" s="1"/>
      <c r="G959" s="23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">
      <c r="A960" s="1"/>
      <c r="B960" s="1"/>
      <c r="C960" s="1"/>
      <c r="D960" s="1"/>
      <c r="E960" s="1"/>
      <c r="F960" s="1"/>
      <c r="G960" s="23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">
      <c r="A961" s="1"/>
      <c r="B961" s="1"/>
      <c r="C961" s="1"/>
      <c r="D961" s="1"/>
      <c r="E961" s="1"/>
      <c r="F961" s="1"/>
      <c r="G961" s="23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">
      <c r="A962" s="1"/>
      <c r="B962" s="1"/>
      <c r="C962" s="1"/>
      <c r="D962" s="1"/>
      <c r="E962" s="1"/>
      <c r="F962" s="1"/>
      <c r="G962" s="23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">
      <c r="A963" s="1"/>
      <c r="B963" s="1"/>
      <c r="C963" s="1"/>
      <c r="D963" s="1"/>
      <c r="E963" s="1"/>
      <c r="F963" s="1"/>
      <c r="G963" s="23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">
      <c r="A964" s="1"/>
      <c r="B964" s="1"/>
      <c r="C964" s="1"/>
      <c r="D964" s="1"/>
      <c r="E964" s="1"/>
      <c r="F964" s="1"/>
      <c r="G964" s="23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">
      <c r="A965" s="1"/>
      <c r="B965" s="1"/>
      <c r="C965" s="1"/>
      <c r="D965" s="1"/>
      <c r="E965" s="1"/>
      <c r="F965" s="1"/>
      <c r="G965" s="23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">
      <c r="A966" s="1"/>
      <c r="B966" s="1"/>
      <c r="C966" s="1"/>
      <c r="D966" s="1"/>
      <c r="E966" s="1"/>
      <c r="F966" s="1"/>
      <c r="G966" s="23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">
      <c r="A967" s="1"/>
      <c r="B967" s="1"/>
      <c r="C967" s="1"/>
      <c r="D967" s="1"/>
      <c r="E967" s="1"/>
      <c r="F967" s="1"/>
      <c r="G967" s="23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">
      <c r="A968" s="1"/>
      <c r="B968" s="1"/>
      <c r="C968" s="1"/>
      <c r="D968" s="1"/>
      <c r="E968" s="1"/>
      <c r="F968" s="1"/>
      <c r="G968" s="23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">
      <c r="A969" s="1"/>
      <c r="B969" s="1"/>
      <c r="C969" s="1"/>
      <c r="D969" s="1"/>
      <c r="E969" s="1"/>
      <c r="F969" s="1"/>
      <c r="G969" s="23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">
      <c r="A970" s="1"/>
      <c r="B970" s="1"/>
      <c r="C970" s="1"/>
      <c r="D970" s="1"/>
      <c r="E970" s="1"/>
      <c r="F970" s="1"/>
      <c r="G970" s="23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">
      <c r="A971" s="1"/>
      <c r="B971" s="1"/>
      <c r="C971" s="1"/>
      <c r="D971" s="1"/>
      <c r="E971" s="1"/>
      <c r="F971" s="1"/>
      <c r="G971" s="23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">
      <c r="A972" s="1"/>
      <c r="B972" s="1"/>
      <c r="C972" s="1"/>
      <c r="D972" s="1"/>
      <c r="E972" s="1"/>
      <c r="F972" s="1"/>
      <c r="G972" s="23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">
      <c r="A973" s="1"/>
      <c r="B973" s="1"/>
      <c r="C973" s="1"/>
      <c r="D973" s="1"/>
      <c r="E973" s="1"/>
      <c r="F973" s="1"/>
      <c r="G973" s="23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">
      <c r="A974" s="1"/>
      <c r="B974" s="1"/>
      <c r="C974" s="1"/>
      <c r="D974" s="1"/>
      <c r="E974" s="1"/>
      <c r="F974" s="1"/>
      <c r="G974" s="23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">
      <c r="A975" s="1"/>
      <c r="B975" s="1"/>
      <c r="C975" s="1"/>
      <c r="D975" s="1"/>
      <c r="E975" s="1"/>
      <c r="F975" s="1"/>
      <c r="G975" s="23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">
      <c r="A976" s="1"/>
      <c r="B976" s="1"/>
      <c r="C976" s="1"/>
      <c r="D976" s="1"/>
      <c r="E976" s="1"/>
      <c r="F976" s="1"/>
      <c r="G976" s="23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">
      <c r="A977" s="1"/>
      <c r="B977" s="1"/>
      <c r="C977" s="1"/>
      <c r="D977" s="1"/>
      <c r="E977" s="1"/>
      <c r="F977" s="1"/>
      <c r="G977" s="23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">
      <c r="A978" s="1"/>
      <c r="B978" s="1"/>
      <c r="C978" s="1"/>
      <c r="D978" s="1"/>
      <c r="E978" s="1"/>
      <c r="F978" s="1"/>
      <c r="G978" s="23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">
      <c r="A979" s="1"/>
      <c r="B979" s="1"/>
      <c r="C979" s="1"/>
      <c r="D979" s="1"/>
      <c r="E979" s="1"/>
      <c r="F979" s="1"/>
      <c r="G979" s="23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">
      <c r="A980" s="1"/>
      <c r="B980" s="1"/>
      <c r="C980" s="1"/>
      <c r="D980" s="1"/>
      <c r="E980" s="1"/>
      <c r="F980" s="1"/>
      <c r="G980" s="23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">
      <c r="A981" s="1"/>
      <c r="B981" s="1"/>
      <c r="C981" s="1"/>
      <c r="D981" s="1"/>
      <c r="E981" s="1"/>
      <c r="F981" s="1"/>
      <c r="G981" s="23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">
      <c r="A982" s="1"/>
      <c r="B982" s="1"/>
      <c r="C982" s="1"/>
      <c r="D982" s="1"/>
      <c r="E982" s="1"/>
      <c r="F982" s="1"/>
      <c r="G982" s="23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">
      <c r="A983" s="1"/>
      <c r="B983" s="1"/>
      <c r="C983" s="1"/>
      <c r="D983" s="1"/>
      <c r="E983" s="1"/>
      <c r="F983" s="1"/>
      <c r="G983" s="23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">
      <c r="A984" s="1"/>
      <c r="B984" s="1"/>
      <c r="C984" s="1"/>
      <c r="D984" s="1"/>
      <c r="E984" s="1"/>
      <c r="F984" s="1"/>
      <c r="G984" s="23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">
      <c r="A985" s="1"/>
      <c r="B985" s="1"/>
      <c r="C985" s="1"/>
      <c r="D985" s="1"/>
      <c r="E985" s="1"/>
      <c r="F985" s="1"/>
      <c r="G985" s="23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">
      <c r="A986" s="1"/>
      <c r="B986" s="1"/>
      <c r="C986" s="1"/>
      <c r="D986" s="1"/>
      <c r="E986" s="1"/>
      <c r="F986" s="1"/>
      <c r="G986" s="23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">
      <c r="A987" s="1"/>
      <c r="B987" s="1"/>
      <c r="C987" s="1"/>
      <c r="D987" s="1"/>
      <c r="E987" s="1"/>
      <c r="F987" s="1"/>
      <c r="G987" s="23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2">
      <c r="A988" s="1"/>
      <c r="B988" s="1"/>
      <c r="C988" s="1"/>
      <c r="D988" s="1"/>
      <c r="E988" s="1"/>
      <c r="F988" s="1"/>
      <c r="G988" s="23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</sheetData>
  <mergeCells count="128">
    <mergeCell ref="A6:Q6"/>
    <mergeCell ref="A7:Q7"/>
    <mergeCell ref="A8:Q8"/>
    <mergeCell ref="A9:Q9"/>
    <mergeCell ref="A10:Q10"/>
    <mergeCell ref="A11:Q11"/>
    <mergeCell ref="A12:Q12"/>
    <mergeCell ref="A13:Q13"/>
    <mergeCell ref="P38:Q38"/>
    <mergeCell ref="P25:Q25"/>
    <mergeCell ref="L25:N25"/>
    <mergeCell ref="L27:N27"/>
    <mergeCell ref="L36:N36"/>
    <mergeCell ref="L38:N38"/>
    <mergeCell ref="L37:N37"/>
    <mergeCell ref="L23:N23"/>
    <mergeCell ref="G24:H24"/>
    <mergeCell ref="L35:N35"/>
    <mergeCell ref="P28:Q28"/>
    <mergeCell ref="I37:K37"/>
    <mergeCell ref="I25:K25"/>
    <mergeCell ref="I28:K28"/>
    <mergeCell ref="L28:N28"/>
    <mergeCell ref="G31:H31"/>
    <mergeCell ref="G26:H26"/>
    <mergeCell ref="G27:H27"/>
    <mergeCell ref="I35:K35"/>
    <mergeCell ref="I24:K24"/>
    <mergeCell ref="I23:K23"/>
    <mergeCell ref="I27:K27"/>
    <mergeCell ref="I26:K26"/>
    <mergeCell ref="G14:H14"/>
    <mergeCell ref="L31:N31"/>
    <mergeCell ref="L32:N32"/>
    <mergeCell ref="L14:N14"/>
    <mergeCell ref="L15:N15"/>
    <mergeCell ref="L16:N16"/>
    <mergeCell ref="L17:N17"/>
    <mergeCell ref="I15:K15"/>
    <mergeCell ref="P14:Q14"/>
    <mergeCell ref="I14:K14"/>
    <mergeCell ref="G22:H22"/>
    <mergeCell ref="G23:H23"/>
    <mergeCell ref="I31:K31"/>
    <mergeCell ref="I32:K32"/>
    <mergeCell ref="G15:H15"/>
    <mergeCell ref="L19:N19"/>
    <mergeCell ref="L22:N22"/>
    <mergeCell ref="I22:K22"/>
    <mergeCell ref="I21:K21"/>
    <mergeCell ref="I20:K20"/>
    <mergeCell ref="A4:Q4"/>
    <mergeCell ref="A5:Q5"/>
    <mergeCell ref="C38:F38"/>
    <mergeCell ref="C37:F37"/>
    <mergeCell ref="G21:H21"/>
    <mergeCell ref="G37:H37"/>
    <mergeCell ref="C23:F23"/>
    <mergeCell ref="C24:F24"/>
    <mergeCell ref="C27:F27"/>
    <mergeCell ref="C26:F26"/>
    <mergeCell ref="C31:F31"/>
    <mergeCell ref="C35:F35"/>
    <mergeCell ref="C32:F32"/>
    <mergeCell ref="C28:F28"/>
    <mergeCell ref="G28:H28"/>
    <mergeCell ref="C25:F25"/>
    <mergeCell ref="G35:H35"/>
    <mergeCell ref="G32:H32"/>
    <mergeCell ref="G25:H25"/>
    <mergeCell ref="G36:H36"/>
    <mergeCell ref="P19:Q19"/>
    <mergeCell ref="G18:H18"/>
    <mergeCell ref="P15:Q15"/>
    <mergeCell ref="P18:Q18"/>
    <mergeCell ref="P17:Q17"/>
    <mergeCell ref="P16:Q16"/>
    <mergeCell ref="I19:K19"/>
    <mergeCell ref="I18:K18"/>
    <mergeCell ref="L18:N18"/>
    <mergeCell ref="G19:H19"/>
    <mergeCell ref="C22:F22"/>
    <mergeCell ref="I36:K36"/>
    <mergeCell ref="L24:N24"/>
    <mergeCell ref="L26:N26"/>
    <mergeCell ref="L20:N20"/>
    <mergeCell ref="L21:N21"/>
    <mergeCell ref="I38:K38"/>
    <mergeCell ref="G38:H38"/>
    <mergeCell ref="A2:F2"/>
    <mergeCell ref="A3:F3"/>
    <mergeCell ref="C14:F14"/>
    <mergeCell ref="C17:F17"/>
    <mergeCell ref="I16:K16"/>
    <mergeCell ref="I17:K17"/>
    <mergeCell ref="G16:H16"/>
    <mergeCell ref="G17:H17"/>
    <mergeCell ref="C15:F15"/>
    <mergeCell ref="C16:F16"/>
    <mergeCell ref="C18:F18"/>
    <mergeCell ref="C19:F19"/>
    <mergeCell ref="C21:F21"/>
    <mergeCell ref="C20:F20"/>
    <mergeCell ref="G20:H20"/>
    <mergeCell ref="C36:F36"/>
    <mergeCell ref="P26:Q26"/>
    <mergeCell ref="P27:Q27"/>
    <mergeCell ref="P36:Q36"/>
    <mergeCell ref="P37:Q37"/>
    <mergeCell ref="P23:Q23"/>
    <mergeCell ref="P24:Q24"/>
    <mergeCell ref="P35:Q35"/>
    <mergeCell ref="P31:Q31"/>
    <mergeCell ref="P32:Q32"/>
    <mergeCell ref="G2:N2"/>
    <mergeCell ref="C33:F33"/>
    <mergeCell ref="G33:H33"/>
    <mergeCell ref="I33:K33"/>
    <mergeCell ref="L33:N33"/>
    <mergeCell ref="P33:Q33"/>
    <mergeCell ref="C34:F34"/>
    <mergeCell ref="G34:H34"/>
    <mergeCell ref="I34:K34"/>
    <mergeCell ref="L34:N34"/>
    <mergeCell ref="P34:Q34"/>
    <mergeCell ref="P21:Q21"/>
    <mergeCell ref="P22:Q22"/>
    <mergeCell ref="P20:Q20"/>
  </mergeCells>
  <pageMargins left="0.7" right="0.7" top="0.75" bottom="0.75" header="0.3" footer="0.3"/>
  <pageSetup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B0D14-F59D-4633-ABFD-C14FAB062DD7}">
  <dimension ref="A1:AA19"/>
  <sheetViews>
    <sheetView workbookViewId="0">
      <selection activeCell="A8" sqref="A8"/>
    </sheetView>
  </sheetViews>
  <sheetFormatPr defaultColWidth="14.42578125" defaultRowHeight="15" customHeight="1" x14ac:dyDescent="0.2"/>
  <cols>
    <col min="1" max="1" width="7.85546875" customWidth="1"/>
    <col min="2" max="4" width="9.140625" customWidth="1"/>
    <col min="5" max="5" width="19.42578125" customWidth="1"/>
    <col min="6" max="6" width="9.28515625" customWidth="1"/>
    <col min="7" max="13" width="9.140625" customWidth="1"/>
    <col min="14" max="14" width="13.28515625" customWidth="1"/>
    <col min="15" max="15" width="9.140625" customWidth="1"/>
    <col min="16" max="16" width="18.28515625" customWidth="1"/>
    <col min="17" max="27" width="9.140625" customWidth="1"/>
  </cols>
  <sheetData>
    <row r="1" spans="1:27" ht="15.75" thickBot="1" x14ac:dyDescent="0.25">
      <c r="A1" s="2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54" customHeight="1" thickBot="1" x14ac:dyDescent="0.3">
      <c r="A2" s="5" t="s">
        <v>2</v>
      </c>
      <c r="B2" s="146" t="s">
        <v>3</v>
      </c>
      <c r="C2" s="147"/>
      <c r="D2" s="147"/>
      <c r="E2" s="147"/>
      <c r="F2" s="148" t="s">
        <v>0</v>
      </c>
      <c r="G2" s="147"/>
      <c r="H2" s="149" t="s">
        <v>1</v>
      </c>
      <c r="I2" s="150"/>
      <c r="J2" s="150"/>
      <c r="K2" s="148" t="s">
        <v>4</v>
      </c>
      <c r="L2" s="147"/>
      <c r="M2" s="151"/>
      <c r="N2" s="6" t="s">
        <v>5</v>
      </c>
      <c r="O2" s="152" t="s">
        <v>6</v>
      </c>
      <c r="P2" s="151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41.25" customHeight="1" thickBot="1" x14ac:dyDescent="0.25">
      <c r="A3" s="27"/>
      <c r="B3" s="63"/>
      <c r="C3" s="64"/>
      <c r="D3" s="64"/>
      <c r="E3" s="65"/>
      <c r="F3" s="66"/>
      <c r="G3" s="65"/>
      <c r="H3" s="67"/>
      <c r="I3" s="64"/>
      <c r="J3" s="65"/>
      <c r="K3" s="67"/>
      <c r="L3" s="64"/>
      <c r="M3" s="65"/>
      <c r="N3" s="8"/>
      <c r="O3" s="153"/>
      <c r="P3" s="78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7.5" customHeight="1" thickBot="1" x14ac:dyDescent="0.25">
      <c r="A4" s="10"/>
      <c r="B4" s="136"/>
      <c r="C4" s="137"/>
      <c r="D4" s="137"/>
      <c r="E4" s="137"/>
      <c r="F4" s="138"/>
      <c r="G4" s="137"/>
      <c r="H4" s="139"/>
      <c r="I4" s="140"/>
      <c r="J4" s="140"/>
      <c r="K4" s="141"/>
      <c r="L4" s="137"/>
      <c r="M4" s="137"/>
      <c r="N4" s="3"/>
      <c r="O4" s="2"/>
      <c r="P4" s="2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6.5" customHeight="1" thickBot="1" x14ac:dyDescent="0.25">
      <c r="A5" s="60" t="s">
        <v>2</v>
      </c>
      <c r="B5" s="142" t="s">
        <v>8</v>
      </c>
      <c r="C5" s="143"/>
      <c r="D5" s="143"/>
      <c r="E5" s="144"/>
      <c r="F5" s="145" t="s">
        <v>0</v>
      </c>
      <c r="G5" s="144"/>
      <c r="H5" s="145" t="s">
        <v>9</v>
      </c>
      <c r="I5" s="143"/>
      <c r="J5" s="144"/>
      <c r="K5" s="145" t="s">
        <v>4</v>
      </c>
      <c r="L5" s="143"/>
      <c r="M5" s="144"/>
      <c r="N5" s="6" t="s">
        <v>5</v>
      </c>
      <c r="O5" s="135" t="s">
        <v>6</v>
      </c>
      <c r="P5" s="78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5.75" customHeight="1" x14ac:dyDescent="0.2">
      <c r="A6" s="26" t="s">
        <v>83</v>
      </c>
      <c r="B6" s="129" t="s">
        <v>10</v>
      </c>
      <c r="C6" s="92"/>
      <c r="D6" s="92"/>
      <c r="E6" s="78"/>
      <c r="F6" s="130" t="s">
        <v>0</v>
      </c>
      <c r="G6" s="78"/>
      <c r="H6" s="131" t="s">
        <v>11</v>
      </c>
      <c r="I6" s="92"/>
      <c r="J6" s="78"/>
      <c r="K6" s="131"/>
      <c r="L6" s="92"/>
      <c r="M6" s="78"/>
      <c r="N6" s="13"/>
      <c r="O6" s="131"/>
      <c r="P6" s="78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5.75" customHeight="1" x14ac:dyDescent="0.2">
      <c r="A7" s="26" t="s">
        <v>84</v>
      </c>
      <c r="B7" s="129" t="s">
        <v>12</v>
      </c>
      <c r="C7" s="92"/>
      <c r="D7" s="92"/>
      <c r="E7" s="78"/>
      <c r="F7" s="130" t="s">
        <v>0</v>
      </c>
      <c r="G7" s="78"/>
      <c r="H7" s="131" t="s">
        <v>11</v>
      </c>
      <c r="I7" s="92"/>
      <c r="J7" s="78"/>
      <c r="K7" s="131"/>
      <c r="L7" s="92"/>
      <c r="M7" s="78"/>
      <c r="N7" s="13"/>
      <c r="O7" s="131"/>
      <c r="P7" s="78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5.75" customHeight="1" x14ac:dyDescent="0.2">
      <c r="A8" s="26" t="s">
        <v>85</v>
      </c>
      <c r="B8" s="129" t="s">
        <v>13</v>
      </c>
      <c r="C8" s="92"/>
      <c r="D8" s="92"/>
      <c r="E8" s="78"/>
      <c r="F8" s="130" t="s">
        <v>0</v>
      </c>
      <c r="G8" s="78"/>
      <c r="H8" s="131" t="s">
        <v>11</v>
      </c>
      <c r="I8" s="92"/>
      <c r="J8" s="78"/>
      <c r="K8" s="132"/>
      <c r="L8" s="92"/>
      <c r="M8" s="78"/>
      <c r="N8" s="13"/>
      <c r="O8" s="133"/>
      <c r="P8" s="78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5.75" customHeight="1" x14ac:dyDescent="0.2">
      <c r="A9" s="12"/>
      <c r="B9" s="129"/>
      <c r="C9" s="92"/>
      <c r="D9" s="92"/>
      <c r="E9" s="78"/>
      <c r="F9" s="130"/>
      <c r="G9" s="78"/>
      <c r="H9" s="131"/>
      <c r="I9" s="92"/>
      <c r="J9" s="78"/>
      <c r="K9" s="132"/>
      <c r="L9" s="92"/>
      <c r="M9" s="78"/>
      <c r="N9" s="13"/>
      <c r="O9" s="133"/>
      <c r="P9" s="78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15.75" customHeight="1" x14ac:dyDescent="0.2">
      <c r="A10" s="12"/>
      <c r="B10" s="129"/>
      <c r="C10" s="92"/>
      <c r="D10" s="92"/>
      <c r="E10" s="78"/>
      <c r="F10" s="130"/>
      <c r="G10" s="78"/>
      <c r="H10" s="131"/>
      <c r="I10" s="92"/>
      <c r="J10" s="78"/>
      <c r="K10" s="134"/>
      <c r="L10" s="92"/>
      <c r="M10" s="78"/>
      <c r="N10" s="13"/>
      <c r="O10" s="131"/>
      <c r="P10" s="78"/>
      <c r="Q10" s="4" t="s">
        <v>14</v>
      </c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5.75" customHeight="1" x14ac:dyDescent="0.2">
      <c r="A11" s="12"/>
      <c r="B11" s="129"/>
      <c r="C11" s="92"/>
      <c r="D11" s="92"/>
      <c r="E11" s="78"/>
      <c r="F11" s="130"/>
      <c r="G11" s="78"/>
      <c r="H11" s="131"/>
      <c r="I11" s="92"/>
      <c r="J11" s="78"/>
      <c r="K11" s="132"/>
      <c r="L11" s="92"/>
      <c r="M11" s="78"/>
      <c r="N11" s="13"/>
      <c r="O11" s="133"/>
      <c r="P11" s="78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</sheetData>
  <mergeCells count="49">
    <mergeCell ref="B3:E3"/>
    <mergeCell ref="F3:G3"/>
    <mergeCell ref="H3:J3"/>
    <mergeCell ref="K3:M3"/>
    <mergeCell ref="O3:P3"/>
    <mergeCell ref="B2:E2"/>
    <mergeCell ref="F2:G2"/>
    <mergeCell ref="H2:J2"/>
    <mergeCell ref="K2:M2"/>
    <mergeCell ref="O2:P2"/>
    <mergeCell ref="B4:E4"/>
    <mergeCell ref="F4:G4"/>
    <mergeCell ref="H4:J4"/>
    <mergeCell ref="K4:M4"/>
    <mergeCell ref="B5:E5"/>
    <mergeCell ref="F5:G5"/>
    <mergeCell ref="H5:J5"/>
    <mergeCell ref="K5:M5"/>
    <mergeCell ref="O5:P5"/>
    <mergeCell ref="B6:E6"/>
    <mergeCell ref="F6:G6"/>
    <mergeCell ref="H6:J6"/>
    <mergeCell ref="K6:M6"/>
    <mergeCell ref="O6:P6"/>
    <mergeCell ref="B8:E8"/>
    <mergeCell ref="F8:G8"/>
    <mergeCell ref="H8:J8"/>
    <mergeCell ref="K8:M8"/>
    <mergeCell ref="O8:P8"/>
    <mergeCell ref="B7:E7"/>
    <mergeCell ref="F7:G7"/>
    <mergeCell ref="H7:J7"/>
    <mergeCell ref="K7:M7"/>
    <mergeCell ref="O7:P7"/>
    <mergeCell ref="B10:E10"/>
    <mergeCell ref="F10:G10"/>
    <mergeCell ref="H10:J10"/>
    <mergeCell ref="K10:M10"/>
    <mergeCell ref="O10:P10"/>
    <mergeCell ref="B9:E9"/>
    <mergeCell ref="F9:G9"/>
    <mergeCell ref="H9:J9"/>
    <mergeCell ref="K9:M9"/>
    <mergeCell ref="O9:P9"/>
    <mergeCell ref="B11:E11"/>
    <mergeCell ref="F11:G11"/>
    <mergeCell ref="H11:J11"/>
    <mergeCell ref="K11:M11"/>
    <mergeCell ref="O11:P1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351DF-27CD-4ECB-9DF4-BBA7BD95E246}">
  <dimension ref="A1:AA19"/>
  <sheetViews>
    <sheetView workbookViewId="0">
      <selection activeCell="A8" sqref="A8"/>
    </sheetView>
  </sheetViews>
  <sheetFormatPr defaultColWidth="14.42578125" defaultRowHeight="15" customHeight="1" x14ac:dyDescent="0.2"/>
  <cols>
    <col min="1" max="1" width="7.85546875" customWidth="1"/>
    <col min="2" max="4" width="9.140625" customWidth="1"/>
    <col min="5" max="5" width="19.42578125" customWidth="1"/>
    <col min="6" max="6" width="9.28515625" customWidth="1"/>
    <col min="7" max="13" width="9.140625" customWidth="1"/>
    <col min="14" max="14" width="13.28515625" customWidth="1"/>
    <col min="15" max="15" width="9.140625" customWidth="1"/>
    <col min="16" max="16" width="18.28515625" customWidth="1"/>
    <col min="17" max="27" width="9.140625" customWidth="1"/>
  </cols>
  <sheetData>
    <row r="1" spans="1:27" ht="15.75" thickBot="1" x14ac:dyDescent="0.25">
      <c r="A1" s="2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54" customHeight="1" thickBot="1" x14ac:dyDescent="0.3">
      <c r="A2" s="5" t="s">
        <v>2</v>
      </c>
      <c r="B2" s="146" t="s">
        <v>3</v>
      </c>
      <c r="C2" s="147"/>
      <c r="D2" s="147"/>
      <c r="E2" s="147"/>
      <c r="F2" s="148" t="s">
        <v>0</v>
      </c>
      <c r="G2" s="147"/>
      <c r="H2" s="149" t="s">
        <v>1</v>
      </c>
      <c r="I2" s="150"/>
      <c r="J2" s="150"/>
      <c r="K2" s="148" t="s">
        <v>4</v>
      </c>
      <c r="L2" s="147"/>
      <c r="M2" s="151"/>
      <c r="N2" s="6" t="s">
        <v>5</v>
      </c>
      <c r="O2" s="152" t="s">
        <v>6</v>
      </c>
      <c r="P2" s="151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41.25" customHeight="1" thickBot="1" x14ac:dyDescent="0.25">
      <c r="A3" s="27"/>
      <c r="B3" s="63"/>
      <c r="C3" s="64"/>
      <c r="D3" s="64"/>
      <c r="E3" s="65"/>
      <c r="F3" s="66"/>
      <c r="G3" s="65"/>
      <c r="H3" s="67"/>
      <c r="I3" s="64"/>
      <c r="J3" s="65"/>
      <c r="K3" s="67"/>
      <c r="L3" s="64"/>
      <c r="M3" s="65"/>
      <c r="N3" s="8"/>
      <c r="O3" s="153"/>
      <c r="P3" s="78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7.5" customHeight="1" thickBot="1" x14ac:dyDescent="0.25">
      <c r="A4" s="10"/>
      <c r="B4" s="136"/>
      <c r="C4" s="137"/>
      <c r="D4" s="137"/>
      <c r="E4" s="137"/>
      <c r="F4" s="138"/>
      <c r="G4" s="137"/>
      <c r="H4" s="139"/>
      <c r="I4" s="140"/>
      <c r="J4" s="140"/>
      <c r="K4" s="141"/>
      <c r="L4" s="137"/>
      <c r="M4" s="137"/>
      <c r="N4" s="3"/>
      <c r="O4" s="2"/>
      <c r="P4" s="2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6.5" customHeight="1" thickBot="1" x14ac:dyDescent="0.25">
      <c r="A5" s="60" t="s">
        <v>2</v>
      </c>
      <c r="B5" s="142" t="s">
        <v>8</v>
      </c>
      <c r="C5" s="143"/>
      <c r="D5" s="143"/>
      <c r="E5" s="144"/>
      <c r="F5" s="145" t="s">
        <v>0</v>
      </c>
      <c r="G5" s="144"/>
      <c r="H5" s="145" t="s">
        <v>9</v>
      </c>
      <c r="I5" s="143"/>
      <c r="J5" s="144"/>
      <c r="K5" s="145" t="s">
        <v>4</v>
      </c>
      <c r="L5" s="143"/>
      <c r="M5" s="144"/>
      <c r="N5" s="6" t="s">
        <v>5</v>
      </c>
      <c r="O5" s="135" t="s">
        <v>6</v>
      </c>
      <c r="P5" s="78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5.75" customHeight="1" x14ac:dyDescent="0.2">
      <c r="A6" s="26" t="s">
        <v>86</v>
      </c>
      <c r="B6" s="129" t="s">
        <v>10</v>
      </c>
      <c r="C6" s="92"/>
      <c r="D6" s="92"/>
      <c r="E6" s="78"/>
      <c r="F6" s="130" t="s">
        <v>0</v>
      </c>
      <c r="G6" s="78"/>
      <c r="H6" s="131" t="s">
        <v>11</v>
      </c>
      <c r="I6" s="92"/>
      <c r="J6" s="78"/>
      <c r="K6" s="131"/>
      <c r="L6" s="92"/>
      <c r="M6" s="78"/>
      <c r="N6" s="13"/>
      <c r="O6" s="131"/>
      <c r="P6" s="78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5.75" customHeight="1" x14ac:dyDescent="0.2">
      <c r="A7" s="26" t="s">
        <v>87</v>
      </c>
      <c r="B7" s="129" t="s">
        <v>12</v>
      </c>
      <c r="C7" s="92"/>
      <c r="D7" s="92"/>
      <c r="E7" s="78"/>
      <c r="F7" s="130" t="s">
        <v>0</v>
      </c>
      <c r="G7" s="78"/>
      <c r="H7" s="131" t="s">
        <v>11</v>
      </c>
      <c r="I7" s="92"/>
      <c r="J7" s="78"/>
      <c r="K7" s="131"/>
      <c r="L7" s="92"/>
      <c r="M7" s="78"/>
      <c r="N7" s="13"/>
      <c r="O7" s="131"/>
      <c r="P7" s="78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5.75" customHeight="1" x14ac:dyDescent="0.2">
      <c r="A8" s="26" t="s">
        <v>88</v>
      </c>
      <c r="B8" s="129" t="s">
        <v>13</v>
      </c>
      <c r="C8" s="92"/>
      <c r="D8" s="92"/>
      <c r="E8" s="78"/>
      <c r="F8" s="130" t="s">
        <v>0</v>
      </c>
      <c r="G8" s="78"/>
      <c r="H8" s="131" t="s">
        <v>11</v>
      </c>
      <c r="I8" s="92"/>
      <c r="J8" s="78"/>
      <c r="K8" s="132"/>
      <c r="L8" s="92"/>
      <c r="M8" s="78"/>
      <c r="N8" s="13"/>
      <c r="O8" s="133"/>
      <c r="P8" s="78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5.75" customHeight="1" x14ac:dyDescent="0.2">
      <c r="A9" s="12"/>
      <c r="B9" s="129"/>
      <c r="C9" s="92"/>
      <c r="D9" s="92"/>
      <c r="E9" s="78"/>
      <c r="F9" s="130"/>
      <c r="G9" s="78"/>
      <c r="H9" s="131"/>
      <c r="I9" s="92"/>
      <c r="J9" s="78"/>
      <c r="K9" s="132"/>
      <c r="L9" s="92"/>
      <c r="M9" s="78"/>
      <c r="N9" s="13"/>
      <c r="O9" s="133"/>
      <c r="P9" s="78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15.75" customHeight="1" x14ac:dyDescent="0.2">
      <c r="A10" s="12"/>
      <c r="B10" s="129"/>
      <c r="C10" s="92"/>
      <c r="D10" s="92"/>
      <c r="E10" s="78"/>
      <c r="F10" s="130"/>
      <c r="G10" s="78"/>
      <c r="H10" s="131"/>
      <c r="I10" s="92"/>
      <c r="J10" s="78"/>
      <c r="K10" s="134"/>
      <c r="L10" s="92"/>
      <c r="M10" s="78"/>
      <c r="N10" s="13"/>
      <c r="O10" s="131"/>
      <c r="P10" s="78"/>
      <c r="Q10" s="4" t="s">
        <v>14</v>
      </c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5.75" customHeight="1" x14ac:dyDescent="0.2">
      <c r="A11" s="12"/>
      <c r="B11" s="129"/>
      <c r="C11" s="92"/>
      <c r="D11" s="92"/>
      <c r="E11" s="78"/>
      <c r="F11" s="130"/>
      <c r="G11" s="78"/>
      <c r="H11" s="131"/>
      <c r="I11" s="92"/>
      <c r="J11" s="78"/>
      <c r="K11" s="132"/>
      <c r="L11" s="92"/>
      <c r="M11" s="78"/>
      <c r="N11" s="13"/>
      <c r="O11" s="133"/>
      <c r="P11" s="78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</sheetData>
  <mergeCells count="49">
    <mergeCell ref="B3:E3"/>
    <mergeCell ref="F3:G3"/>
    <mergeCell ref="H3:J3"/>
    <mergeCell ref="K3:M3"/>
    <mergeCell ref="O3:P3"/>
    <mergeCell ref="B2:E2"/>
    <mergeCell ref="F2:G2"/>
    <mergeCell ref="H2:J2"/>
    <mergeCell ref="K2:M2"/>
    <mergeCell ref="O2:P2"/>
    <mergeCell ref="B4:E4"/>
    <mergeCell ref="F4:G4"/>
    <mergeCell ref="H4:J4"/>
    <mergeCell ref="K4:M4"/>
    <mergeCell ref="B5:E5"/>
    <mergeCell ref="F5:G5"/>
    <mergeCell ref="H5:J5"/>
    <mergeCell ref="K5:M5"/>
    <mergeCell ref="O5:P5"/>
    <mergeCell ref="B6:E6"/>
    <mergeCell ref="F6:G6"/>
    <mergeCell ref="H6:J6"/>
    <mergeCell ref="K6:M6"/>
    <mergeCell ref="O6:P6"/>
    <mergeCell ref="B8:E8"/>
    <mergeCell ref="F8:G8"/>
    <mergeCell ref="H8:J8"/>
    <mergeCell ref="K8:M8"/>
    <mergeCell ref="O8:P8"/>
    <mergeCell ref="B7:E7"/>
    <mergeCell ref="F7:G7"/>
    <mergeCell ref="H7:J7"/>
    <mergeCell ref="K7:M7"/>
    <mergeCell ref="O7:P7"/>
    <mergeCell ref="B10:E10"/>
    <mergeCell ref="F10:G10"/>
    <mergeCell ref="H10:J10"/>
    <mergeCell ref="K10:M10"/>
    <mergeCell ref="O10:P10"/>
    <mergeCell ref="B9:E9"/>
    <mergeCell ref="F9:G9"/>
    <mergeCell ref="H9:J9"/>
    <mergeCell ref="K9:M9"/>
    <mergeCell ref="O9:P9"/>
    <mergeCell ref="B11:E11"/>
    <mergeCell ref="F11:G11"/>
    <mergeCell ref="H11:J11"/>
    <mergeCell ref="K11:M11"/>
    <mergeCell ref="O11:P1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B05EF-701A-4905-81F3-BB9894F9DBD9}">
  <dimension ref="A1:AA19"/>
  <sheetViews>
    <sheetView workbookViewId="0">
      <selection activeCell="A8" sqref="A8"/>
    </sheetView>
  </sheetViews>
  <sheetFormatPr defaultColWidth="14.42578125" defaultRowHeight="15" customHeight="1" x14ac:dyDescent="0.2"/>
  <cols>
    <col min="1" max="1" width="7.85546875" customWidth="1"/>
    <col min="2" max="4" width="9.140625" customWidth="1"/>
    <col min="5" max="5" width="19.42578125" customWidth="1"/>
    <col min="6" max="6" width="9.28515625" customWidth="1"/>
    <col min="7" max="13" width="9.140625" customWidth="1"/>
    <col min="14" max="14" width="13.28515625" customWidth="1"/>
    <col min="15" max="15" width="9.140625" customWidth="1"/>
    <col min="16" max="16" width="18.28515625" customWidth="1"/>
    <col min="17" max="27" width="9.140625" customWidth="1"/>
  </cols>
  <sheetData>
    <row r="1" spans="1:27" ht="15.75" thickBot="1" x14ac:dyDescent="0.25">
      <c r="A1" s="2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54" customHeight="1" thickBot="1" x14ac:dyDescent="0.3">
      <c r="A2" s="5" t="s">
        <v>2</v>
      </c>
      <c r="B2" s="146" t="s">
        <v>3</v>
      </c>
      <c r="C2" s="147"/>
      <c r="D2" s="147"/>
      <c r="E2" s="147"/>
      <c r="F2" s="148" t="s">
        <v>0</v>
      </c>
      <c r="G2" s="147"/>
      <c r="H2" s="149" t="s">
        <v>1</v>
      </c>
      <c r="I2" s="150"/>
      <c r="J2" s="150"/>
      <c r="K2" s="148" t="s">
        <v>4</v>
      </c>
      <c r="L2" s="147"/>
      <c r="M2" s="151"/>
      <c r="N2" s="6" t="s">
        <v>5</v>
      </c>
      <c r="O2" s="152" t="s">
        <v>6</v>
      </c>
      <c r="P2" s="151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41.25" customHeight="1" thickBot="1" x14ac:dyDescent="0.25">
      <c r="A3" s="27"/>
      <c r="B3" s="63"/>
      <c r="C3" s="64"/>
      <c r="D3" s="64"/>
      <c r="E3" s="65"/>
      <c r="F3" s="66"/>
      <c r="G3" s="65"/>
      <c r="H3" s="67"/>
      <c r="I3" s="64"/>
      <c r="J3" s="65"/>
      <c r="K3" s="67"/>
      <c r="L3" s="64"/>
      <c r="M3" s="65"/>
      <c r="N3" s="8"/>
      <c r="O3" s="153"/>
      <c r="P3" s="78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7.5" customHeight="1" thickBot="1" x14ac:dyDescent="0.25">
      <c r="A4" s="10"/>
      <c r="B4" s="136"/>
      <c r="C4" s="137"/>
      <c r="D4" s="137"/>
      <c r="E4" s="137"/>
      <c r="F4" s="138"/>
      <c r="G4" s="137"/>
      <c r="H4" s="139"/>
      <c r="I4" s="140"/>
      <c r="J4" s="140"/>
      <c r="K4" s="141"/>
      <c r="L4" s="137"/>
      <c r="M4" s="137"/>
      <c r="N4" s="3"/>
      <c r="O4" s="2"/>
      <c r="P4" s="2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6.5" customHeight="1" thickBot="1" x14ac:dyDescent="0.25">
      <c r="A5" s="60" t="s">
        <v>2</v>
      </c>
      <c r="B5" s="142" t="s">
        <v>8</v>
      </c>
      <c r="C5" s="143"/>
      <c r="D5" s="143"/>
      <c r="E5" s="144"/>
      <c r="F5" s="145" t="s">
        <v>0</v>
      </c>
      <c r="G5" s="144"/>
      <c r="H5" s="145" t="s">
        <v>9</v>
      </c>
      <c r="I5" s="143"/>
      <c r="J5" s="144"/>
      <c r="K5" s="145" t="s">
        <v>4</v>
      </c>
      <c r="L5" s="143"/>
      <c r="M5" s="144"/>
      <c r="N5" s="6" t="s">
        <v>5</v>
      </c>
      <c r="O5" s="135" t="s">
        <v>6</v>
      </c>
      <c r="P5" s="78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5.75" customHeight="1" x14ac:dyDescent="0.2">
      <c r="A6" s="26" t="s">
        <v>89</v>
      </c>
      <c r="B6" s="129" t="s">
        <v>10</v>
      </c>
      <c r="C6" s="92"/>
      <c r="D6" s="92"/>
      <c r="E6" s="78"/>
      <c r="F6" s="130" t="s">
        <v>0</v>
      </c>
      <c r="G6" s="78"/>
      <c r="H6" s="131" t="s">
        <v>11</v>
      </c>
      <c r="I6" s="92"/>
      <c r="J6" s="78"/>
      <c r="K6" s="131"/>
      <c r="L6" s="92"/>
      <c r="M6" s="78"/>
      <c r="N6" s="13"/>
      <c r="O6" s="131"/>
      <c r="P6" s="78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5.75" customHeight="1" x14ac:dyDescent="0.2">
      <c r="A7" s="26" t="s">
        <v>90</v>
      </c>
      <c r="B7" s="129" t="s">
        <v>12</v>
      </c>
      <c r="C7" s="92"/>
      <c r="D7" s="92"/>
      <c r="E7" s="78"/>
      <c r="F7" s="130" t="s">
        <v>0</v>
      </c>
      <c r="G7" s="78"/>
      <c r="H7" s="131" t="s">
        <v>11</v>
      </c>
      <c r="I7" s="92"/>
      <c r="J7" s="78"/>
      <c r="K7" s="131"/>
      <c r="L7" s="92"/>
      <c r="M7" s="78"/>
      <c r="N7" s="13"/>
      <c r="O7" s="131"/>
      <c r="P7" s="78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5.75" customHeight="1" x14ac:dyDescent="0.2">
      <c r="A8" s="26" t="s">
        <v>91</v>
      </c>
      <c r="B8" s="129" t="s">
        <v>13</v>
      </c>
      <c r="C8" s="92"/>
      <c r="D8" s="92"/>
      <c r="E8" s="78"/>
      <c r="F8" s="130" t="s">
        <v>0</v>
      </c>
      <c r="G8" s="78"/>
      <c r="H8" s="131" t="s">
        <v>11</v>
      </c>
      <c r="I8" s="92"/>
      <c r="J8" s="78"/>
      <c r="K8" s="132"/>
      <c r="L8" s="92"/>
      <c r="M8" s="78"/>
      <c r="N8" s="13"/>
      <c r="O8" s="133"/>
      <c r="P8" s="78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5.75" customHeight="1" x14ac:dyDescent="0.2">
      <c r="A9" s="12"/>
      <c r="B9" s="129"/>
      <c r="C9" s="92"/>
      <c r="D9" s="92"/>
      <c r="E9" s="78"/>
      <c r="F9" s="130"/>
      <c r="G9" s="78"/>
      <c r="H9" s="131"/>
      <c r="I9" s="92"/>
      <c r="J9" s="78"/>
      <c r="K9" s="132"/>
      <c r="L9" s="92"/>
      <c r="M9" s="78"/>
      <c r="N9" s="13"/>
      <c r="O9" s="133"/>
      <c r="P9" s="78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15.75" customHeight="1" x14ac:dyDescent="0.2">
      <c r="A10" s="12"/>
      <c r="B10" s="129"/>
      <c r="C10" s="92"/>
      <c r="D10" s="92"/>
      <c r="E10" s="78"/>
      <c r="F10" s="130"/>
      <c r="G10" s="78"/>
      <c r="H10" s="131"/>
      <c r="I10" s="92"/>
      <c r="J10" s="78"/>
      <c r="K10" s="134"/>
      <c r="L10" s="92"/>
      <c r="M10" s="78"/>
      <c r="N10" s="13"/>
      <c r="O10" s="131"/>
      <c r="P10" s="78"/>
      <c r="Q10" s="4" t="s">
        <v>14</v>
      </c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5.75" customHeight="1" x14ac:dyDescent="0.2">
      <c r="A11" s="12"/>
      <c r="B11" s="129"/>
      <c r="C11" s="92"/>
      <c r="D11" s="92"/>
      <c r="E11" s="78"/>
      <c r="F11" s="130"/>
      <c r="G11" s="78"/>
      <c r="H11" s="131"/>
      <c r="I11" s="92"/>
      <c r="J11" s="78"/>
      <c r="K11" s="132"/>
      <c r="L11" s="92"/>
      <c r="M11" s="78"/>
      <c r="N11" s="13"/>
      <c r="O11" s="133"/>
      <c r="P11" s="78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</sheetData>
  <mergeCells count="49">
    <mergeCell ref="B3:E3"/>
    <mergeCell ref="F3:G3"/>
    <mergeCell ref="H3:J3"/>
    <mergeCell ref="K3:M3"/>
    <mergeCell ref="O3:P3"/>
    <mergeCell ref="B2:E2"/>
    <mergeCell ref="F2:G2"/>
    <mergeCell ref="H2:J2"/>
    <mergeCell ref="K2:M2"/>
    <mergeCell ref="O2:P2"/>
    <mergeCell ref="B4:E4"/>
    <mergeCell ref="F4:G4"/>
    <mergeCell ref="H4:J4"/>
    <mergeCell ref="K4:M4"/>
    <mergeCell ref="B5:E5"/>
    <mergeCell ref="F5:G5"/>
    <mergeCell ref="H5:J5"/>
    <mergeCell ref="K5:M5"/>
    <mergeCell ref="O5:P5"/>
    <mergeCell ref="B6:E6"/>
    <mergeCell ref="F6:G6"/>
    <mergeCell ref="H6:J6"/>
    <mergeCell ref="K6:M6"/>
    <mergeCell ref="O6:P6"/>
    <mergeCell ref="B8:E8"/>
    <mergeCell ref="F8:G8"/>
    <mergeCell ref="H8:J8"/>
    <mergeCell ref="K8:M8"/>
    <mergeCell ref="O8:P8"/>
    <mergeCell ref="B7:E7"/>
    <mergeCell ref="F7:G7"/>
    <mergeCell ref="H7:J7"/>
    <mergeCell ref="K7:M7"/>
    <mergeCell ref="O7:P7"/>
    <mergeCell ref="B10:E10"/>
    <mergeCell ref="F10:G10"/>
    <mergeCell ref="H10:J10"/>
    <mergeCell ref="K10:M10"/>
    <mergeCell ref="O10:P10"/>
    <mergeCell ref="B9:E9"/>
    <mergeCell ref="F9:G9"/>
    <mergeCell ref="H9:J9"/>
    <mergeCell ref="K9:M9"/>
    <mergeCell ref="O9:P9"/>
    <mergeCell ref="B11:E11"/>
    <mergeCell ref="F11:G11"/>
    <mergeCell ref="H11:J11"/>
    <mergeCell ref="K11:M11"/>
    <mergeCell ref="O11:P1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47A92-9031-4561-ABE3-4805765F4EED}">
  <dimension ref="A1:AA19"/>
  <sheetViews>
    <sheetView workbookViewId="0">
      <selection activeCell="A8" sqref="A8"/>
    </sheetView>
  </sheetViews>
  <sheetFormatPr defaultColWidth="14.42578125" defaultRowHeight="15" customHeight="1" x14ac:dyDescent="0.2"/>
  <cols>
    <col min="1" max="1" width="7.85546875" customWidth="1"/>
    <col min="2" max="4" width="9.140625" customWidth="1"/>
    <col min="5" max="5" width="19.42578125" customWidth="1"/>
    <col min="6" max="6" width="9.28515625" customWidth="1"/>
    <col min="7" max="13" width="9.140625" customWidth="1"/>
    <col min="14" max="14" width="13.28515625" customWidth="1"/>
    <col min="15" max="15" width="9.140625" customWidth="1"/>
    <col min="16" max="16" width="18.28515625" customWidth="1"/>
    <col min="17" max="27" width="9.140625" customWidth="1"/>
  </cols>
  <sheetData>
    <row r="1" spans="1:27" ht="15.75" thickBot="1" x14ac:dyDescent="0.25">
      <c r="A1" s="2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54" customHeight="1" thickBot="1" x14ac:dyDescent="0.3">
      <c r="A2" s="5" t="s">
        <v>2</v>
      </c>
      <c r="B2" s="146" t="s">
        <v>3</v>
      </c>
      <c r="C2" s="147"/>
      <c r="D2" s="147"/>
      <c r="E2" s="147"/>
      <c r="F2" s="148" t="s">
        <v>0</v>
      </c>
      <c r="G2" s="147"/>
      <c r="H2" s="149" t="s">
        <v>1</v>
      </c>
      <c r="I2" s="150"/>
      <c r="J2" s="150"/>
      <c r="K2" s="148" t="s">
        <v>4</v>
      </c>
      <c r="L2" s="147"/>
      <c r="M2" s="151"/>
      <c r="N2" s="6" t="s">
        <v>5</v>
      </c>
      <c r="O2" s="152" t="s">
        <v>6</v>
      </c>
      <c r="P2" s="151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41.25" customHeight="1" thickBot="1" x14ac:dyDescent="0.25">
      <c r="A3" s="27"/>
      <c r="B3" s="63"/>
      <c r="C3" s="64"/>
      <c r="D3" s="64"/>
      <c r="E3" s="65"/>
      <c r="F3" s="66"/>
      <c r="G3" s="65"/>
      <c r="H3" s="67"/>
      <c r="I3" s="64"/>
      <c r="J3" s="65"/>
      <c r="K3" s="67"/>
      <c r="L3" s="64"/>
      <c r="M3" s="65"/>
      <c r="N3" s="8"/>
      <c r="O3" s="153"/>
      <c r="P3" s="78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7.5" customHeight="1" thickBot="1" x14ac:dyDescent="0.25">
      <c r="A4" s="10"/>
      <c r="B4" s="136"/>
      <c r="C4" s="137"/>
      <c r="D4" s="137"/>
      <c r="E4" s="137"/>
      <c r="F4" s="138"/>
      <c r="G4" s="137"/>
      <c r="H4" s="139"/>
      <c r="I4" s="140"/>
      <c r="J4" s="140"/>
      <c r="K4" s="141"/>
      <c r="L4" s="137"/>
      <c r="M4" s="137"/>
      <c r="N4" s="3"/>
      <c r="O4" s="2"/>
      <c r="P4" s="2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6.5" customHeight="1" thickBot="1" x14ac:dyDescent="0.25">
      <c r="A5" s="60" t="s">
        <v>2</v>
      </c>
      <c r="B5" s="142" t="s">
        <v>8</v>
      </c>
      <c r="C5" s="143"/>
      <c r="D5" s="143"/>
      <c r="E5" s="144"/>
      <c r="F5" s="145" t="s">
        <v>0</v>
      </c>
      <c r="G5" s="144"/>
      <c r="H5" s="145" t="s">
        <v>9</v>
      </c>
      <c r="I5" s="143"/>
      <c r="J5" s="144"/>
      <c r="K5" s="145" t="s">
        <v>4</v>
      </c>
      <c r="L5" s="143"/>
      <c r="M5" s="144"/>
      <c r="N5" s="6" t="s">
        <v>5</v>
      </c>
      <c r="O5" s="135" t="s">
        <v>6</v>
      </c>
      <c r="P5" s="78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5.75" customHeight="1" x14ac:dyDescent="0.2">
      <c r="A6" s="26" t="s">
        <v>92</v>
      </c>
      <c r="B6" s="129" t="s">
        <v>10</v>
      </c>
      <c r="C6" s="92"/>
      <c r="D6" s="92"/>
      <c r="E6" s="78"/>
      <c r="F6" s="130" t="s">
        <v>0</v>
      </c>
      <c r="G6" s="78"/>
      <c r="H6" s="131" t="s">
        <v>11</v>
      </c>
      <c r="I6" s="92"/>
      <c r="J6" s="78"/>
      <c r="K6" s="131"/>
      <c r="L6" s="92"/>
      <c r="M6" s="78"/>
      <c r="N6" s="13"/>
      <c r="O6" s="131"/>
      <c r="P6" s="78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5.75" customHeight="1" x14ac:dyDescent="0.2">
      <c r="A7" s="26" t="s">
        <v>93</v>
      </c>
      <c r="B7" s="129" t="s">
        <v>12</v>
      </c>
      <c r="C7" s="92"/>
      <c r="D7" s="92"/>
      <c r="E7" s="78"/>
      <c r="F7" s="130" t="s">
        <v>0</v>
      </c>
      <c r="G7" s="78"/>
      <c r="H7" s="131" t="s">
        <v>11</v>
      </c>
      <c r="I7" s="92"/>
      <c r="J7" s="78"/>
      <c r="K7" s="131"/>
      <c r="L7" s="92"/>
      <c r="M7" s="78"/>
      <c r="N7" s="13"/>
      <c r="O7" s="131"/>
      <c r="P7" s="78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5.75" customHeight="1" x14ac:dyDescent="0.2">
      <c r="A8" s="26" t="s">
        <v>94</v>
      </c>
      <c r="B8" s="129" t="s">
        <v>13</v>
      </c>
      <c r="C8" s="92"/>
      <c r="D8" s="92"/>
      <c r="E8" s="78"/>
      <c r="F8" s="130" t="s">
        <v>0</v>
      </c>
      <c r="G8" s="78"/>
      <c r="H8" s="131" t="s">
        <v>11</v>
      </c>
      <c r="I8" s="92"/>
      <c r="J8" s="78"/>
      <c r="K8" s="132"/>
      <c r="L8" s="92"/>
      <c r="M8" s="78"/>
      <c r="N8" s="13"/>
      <c r="O8" s="133"/>
      <c r="P8" s="78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5.75" customHeight="1" x14ac:dyDescent="0.2">
      <c r="A9" s="12"/>
      <c r="B9" s="129"/>
      <c r="C9" s="92"/>
      <c r="D9" s="92"/>
      <c r="E9" s="78"/>
      <c r="F9" s="130"/>
      <c r="G9" s="78"/>
      <c r="H9" s="131"/>
      <c r="I9" s="92"/>
      <c r="J9" s="78"/>
      <c r="K9" s="132"/>
      <c r="L9" s="92"/>
      <c r="M9" s="78"/>
      <c r="N9" s="13"/>
      <c r="O9" s="133"/>
      <c r="P9" s="78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15.75" customHeight="1" x14ac:dyDescent="0.2">
      <c r="A10" s="12"/>
      <c r="B10" s="129"/>
      <c r="C10" s="92"/>
      <c r="D10" s="92"/>
      <c r="E10" s="78"/>
      <c r="F10" s="130"/>
      <c r="G10" s="78"/>
      <c r="H10" s="131"/>
      <c r="I10" s="92"/>
      <c r="J10" s="78"/>
      <c r="K10" s="134"/>
      <c r="L10" s="92"/>
      <c r="M10" s="78"/>
      <c r="N10" s="13"/>
      <c r="O10" s="131"/>
      <c r="P10" s="78"/>
      <c r="Q10" s="4" t="s">
        <v>14</v>
      </c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5.75" customHeight="1" x14ac:dyDescent="0.2">
      <c r="A11" s="12"/>
      <c r="B11" s="129"/>
      <c r="C11" s="92"/>
      <c r="D11" s="92"/>
      <c r="E11" s="78"/>
      <c r="F11" s="130"/>
      <c r="G11" s="78"/>
      <c r="H11" s="131"/>
      <c r="I11" s="92"/>
      <c r="J11" s="78"/>
      <c r="K11" s="132"/>
      <c r="L11" s="92"/>
      <c r="M11" s="78"/>
      <c r="N11" s="13"/>
      <c r="O11" s="133"/>
      <c r="P11" s="78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</sheetData>
  <mergeCells count="49">
    <mergeCell ref="B3:E3"/>
    <mergeCell ref="F3:G3"/>
    <mergeCell ref="H3:J3"/>
    <mergeCell ref="K3:M3"/>
    <mergeCell ref="O3:P3"/>
    <mergeCell ref="B2:E2"/>
    <mergeCell ref="F2:G2"/>
    <mergeCell ref="H2:J2"/>
    <mergeCell ref="K2:M2"/>
    <mergeCell ref="O2:P2"/>
    <mergeCell ref="B4:E4"/>
    <mergeCell ref="F4:G4"/>
    <mergeCell ref="H4:J4"/>
    <mergeCell ref="K4:M4"/>
    <mergeCell ref="B5:E5"/>
    <mergeCell ref="F5:G5"/>
    <mergeCell ref="H5:J5"/>
    <mergeCell ref="K5:M5"/>
    <mergeCell ref="O5:P5"/>
    <mergeCell ref="B6:E6"/>
    <mergeCell ref="F6:G6"/>
    <mergeCell ref="H6:J6"/>
    <mergeCell ref="K6:M6"/>
    <mergeCell ref="O6:P6"/>
    <mergeCell ref="B8:E8"/>
    <mergeCell ref="F8:G8"/>
    <mergeCell ref="H8:J8"/>
    <mergeCell ref="K8:M8"/>
    <mergeCell ref="O8:P8"/>
    <mergeCell ref="B7:E7"/>
    <mergeCell ref="F7:G7"/>
    <mergeCell ref="H7:J7"/>
    <mergeCell ref="K7:M7"/>
    <mergeCell ref="O7:P7"/>
    <mergeCell ref="B10:E10"/>
    <mergeCell ref="F10:G10"/>
    <mergeCell ref="H10:J10"/>
    <mergeCell ref="K10:M10"/>
    <mergeCell ref="O10:P10"/>
    <mergeCell ref="B9:E9"/>
    <mergeCell ref="F9:G9"/>
    <mergeCell ref="H9:J9"/>
    <mergeCell ref="K9:M9"/>
    <mergeCell ref="O9:P9"/>
    <mergeCell ref="B11:E11"/>
    <mergeCell ref="F11:G11"/>
    <mergeCell ref="H11:J11"/>
    <mergeCell ref="K11:M11"/>
    <mergeCell ref="O11:P1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3B250-2615-4B3A-944C-996A2CC9915B}">
  <dimension ref="A1:AA19"/>
  <sheetViews>
    <sheetView workbookViewId="0">
      <selection activeCell="A8" sqref="A8"/>
    </sheetView>
  </sheetViews>
  <sheetFormatPr defaultColWidth="14.42578125" defaultRowHeight="15" customHeight="1" x14ac:dyDescent="0.2"/>
  <cols>
    <col min="1" max="1" width="7.85546875" customWidth="1"/>
    <col min="2" max="4" width="9.140625" customWidth="1"/>
    <col min="5" max="5" width="19.42578125" customWidth="1"/>
    <col min="6" max="6" width="9.28515625" customWidth="1"/>
    <col min="7" max="13" width="9.140625" customWidth="1"/>
    <col min="14" max="14" width="13.28515625" customWidth="1"/>
    <col min="15" max="15" width="9.140625" customWidth="1"/>
    <col min="16" max="16" width="18.28515625" customWidth="1"/>
    <col min="17" max="27" width="9.140625" customWidth="1"/>
  </cols>
  <sheetData>
    <row r="1" spans="1:27" ht="15.75" thickBot="1" x14ac:dyDescent="0.25">
      <c r="A1" s="2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54" customHeight="1" thickBot="1" x14ac:dyDescent="0.3">
      <c r="A2" s="5" t="s">
        <v>2</v>
      </c>
      <c r="B2" s="146" t="s">
        <v>3</v>
      </c>
      <c r="C2" s="147"/>
      <c r="D2" s="147"/>
      <c r="E2" s="147"/>
      <c r="F2" s="148" t="s">
        <v>0</v>
      </c>
      <c r="G2" s="147"/>
      <c r="H2" s="149" t="s">
        <v>1</v>
      </c>
      <c r="I2" s="150"/>
      <c r="J2" s="150"/>
      <c r="K2" s="148" t="s">
        <v>4</v>
      </c>
      <c r="L2" s="147"/>
      <c r="M2" s="151"/>
      <c r="N2" s="6" t="s">
        <v>5</v>
      </c>
      <c r="O2" s="152" t="s">
        <v>6</v>
      </c>
      <c r="P2" s="151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41.25" customHeight="1" thickBot="1" x14ac:dyDescent="0.25">
      <c r="A3" s="27"/>
      <c r="B3" s="63"/>
      <c r="C3" s="64"/>
      <c r="D3" s="64"/>
      <c r="E3" s="65"/>
      <c r="F3" s="66"/>
      <c r="G3" s="65"/>
      <c r="H3" s="67"/>
      <c r="I3" s="64"/>
      <c r="J3" s="65"/>
      <c r="K3" s="67"/>
      <c r="L3" s="64"/>
      <c r="M3" s="65"/>
      <c r="N3" s="8"/>
      <c r="O3" s="153"/>
      <c r="P3" s="78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7.5" customHeight="1" thickBot="1" x14ac:dyDescent="0.25">
      <c r="A4" s="10"/>
      <c r="B4" s="136"/>
      <c r="C4" s="137"/>
      <c r="D4" s="137"/>
      <c r="E4" s="137"/>
      <c r="F4" s="138"/>
      <c r="G4" s="137"/>
      <c r="H4" s="139"/>
      <c r="I4" s="140"/>
      <c r="J4" s="140"/>
      <c r="K4" s="141"/>
      <c r="L4" s="137"/>
      <c r="M4" s="137"/>
      <c r="N4" s="3"/>
      <c r="O4" s="2"/>
      <c r="P4" s="2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6.5" customHeight="1" thickBot="1" x14ac:dyDescent="0.25">
      <c r="A5" s="60" t="s">
        <v>2</v>
      </c>
      <c r="B5" s="142" t="s">
        <v>8</v>
      </c>
      <c r="C5" s="143"/>
      <c r="D5" s="143"/>
      <c r="E5" s="144"/>
      <c r="F5" s="145" t="s">
        <v>0</v>
      </c>
      <c r="G5" s="144"/>
      <c r="H5" s="145" t="s">
        <v>9</v>
      </c>
      <c r="I5" s="143"/>
      <c r="J5" s="144"/>
      <c r="K5" s="145" t="s">
        <v>4</v>
      </c>
      <c r="L5" s="143"/>
      <c r="M5" s="144"/>
      <c r="N5" s="6" t="s">
        <v>5</v>
      </c>
      <c r="O5" s="135" t="s">
        <v>6</v>
      </c>
      <c r="P5" s="78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5.75" customHeight="1" x14ac:dyDescent="0.2">
      <c r="A6" s="26" t="s">
        <v>95</v>
      </c>
      <c r="B6" s="129" t="s">
        <v>10</v>
      </c>
      <c r="C6" s="92"/>
      <c r="D6" s="92"/>
      <c r="E6" s="78"/>
      <c r="F6" s="130" t="s">
        <v>0</v>
      </c>
      <c r="G6" s="78"/>
      <c r="H6" s="131" t="s">
        <v>11</v>
      </c>
      <c r="I6" s="92"/>
      <c r="J6" s="78"/>
      <c r="K6" s="131"/>
      <c r="L6" s="92"/>
      <c r="M6" s="78"/>
      <c r="N6" s="13"/>
      <c r="O6" s="131"/>
      <c r="P6" s="78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5.75" customHeight="1" x14ac:dyDescent="0.2">
      <c r="A7" s="26" t="s">
        <v>96</v>
      </c>
      <c r="B7" s="129" t="s">
        <v>12</v>
      </c>
      <c r="C7" s="92"/>
      <c r="D7" s="92"/>
      <c r="E7" s="78"/>
      <c r="F7" s="130" t="s">
        <v>0</v>
      </c>
      <c r="G7" s="78"/>
      <c r="H7" s="131" t="s">
        <v>11</v>
      </c>
      <c r="I7" s="92"/>
      <c r="J7" s="78"/>
      <c r="K7" s="131"/>
      <c r="L7" s="92"/>
      <c r="M7" s="78"/>
      <c r="N7" s="13"/>
      <c r="O7" s="131"/>
      <c r="P7" s="78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5.75" customHeight="1" x14ac:dyDescent="0.2">
      <c r="A8" s="26" t="s">
        <v>97</v>
      </c>
      <c r="B8" s="129" t="s">
        <v>13</v>
      </c>
      <c r="C8" s="92"/>
      <c r="D8" s="92"/>
      <c r="E8" s="78"/>
      <c r="F8" s="130" t="s">
        <v>0</v>
      </c>
      <c r="G8" s="78"/>
      <c r="H8" s="131" t="s">
        <v>11</v>
      </c>
      <c r="I8" s="92"/>
      <c r="J8" s="78"/>
      <c r="K8" s="132"/>
      <c r="L8" s="92"/>
      <c r="M8" s="78"/>
      <c r="N8" s="13"/>
      <c r="O8" s="133"/>
      <c r="P8" s="78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5.75" customHeight="1" x14ac:dyDescent="0.2">
      <c r="A9" s="12"/>
      <c r="B9" s="129"/>
      <c r="C9" s="92"/>
      <c r="D9" s="92"/>
      <c r="E9" s="78"/>
      <c r="F9" s="130"/>
      <c r="G9" s="78"/>
      <c r="H9" s="131"/>
      <c r="I9" s="92"/>
      <c r="J9" s="78"/>
      <c r="K9" s="132"/>
      <c r="L9" s="92"/>
      <c r="M9" s="78"/>
      <c r="N9" s="13"/>
      <c r="O9" s="133"/>
      <c r="P9" s="78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15.75" customHeight="1" x14ac:dyDescent="0.2">
      <c r="A10" s="12"/>
      <c r="B10" s="129"/>
      <c r="C10" s="92"/>
      <c r="D10" s="92"/>
      <c r="E10" s="78"/>
      <c r="F10" s="130"/>
      <c r="G10" s="78"/>
      <c r="H10" s="131"/>
      <c r="I10" s="92"/>
      <c r="J10" s="78"/>
      <c r="K10" s="134"/>
      <c r="L10" s="92"/>
      <c r="M10" s="78"/>
      <c r="N10" s="13"/>
      <c r="O10" s="131"/>
      <c r="P10" s="78"/>
      <c r="Q10" s="4" t="s">
        <v>14</v>
      </c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5.75" customHeight="1" x14ac:dyDescent="0.2">
      <c r="A11" s="12"/>
      <c r="B11" s="129"/>
      <c r="C11" s="92"/>
      <c r="D11" s="92"/>
      <c r="E11" s="78"/>
      <c r="F11" s="130"/>
      <c r="G11" s="78"/>
      <c r="H11" s="131"/>
      <c r="I11" s="92"/>
      <c r="J11" s="78"/>
      <c r="K11" s="132"/>
      <c r="L11" s="92"/>
      <c r="M11" s="78"/>
      <c r="N11" s="13"/>
      <c r="O11" s="133"/>
      <c r="P11" s="78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</sheetData>
  <mergeCells count="49">
    <mergeCell ref="B3:E3"/>
    <mergeCell ref="F3:G3"/>
    <mergeCell ref="H3:J3"/>
    <mergeCell ref="K3:M3"/>
    <mergeCell ref="O3:P3"/>
    <mergeCell ref="B2:E2"/>
    <mergeCell ref="F2:G2"/>
    <mergeCell ref="H2:J2"/>
    <mergeCell ref="K2:M2"/>
    <mergeCell ref="O2:P2"/>
    <mergeCell ref="B4:E4"/>
    <mergeCell ref="F4:G4"/>
    <mergeCell ref="H4:J4"/>
    <mergeCell ref="K4:M4"/>
    <mergeCell ref="B5:E5"/>
    <mergeCell ref="F5:G5"/>
    <mergeCell ref="H5:J5"/>
    <mergeCell ref="K5:M5"/>
    <mergeCell ref="O5:P5"/>
    <mergeCell ref="B6:E6"/>
    <mergeCell ref="F6:G6"/>
    <mergeCell ref="H6:J6"/>
    <mergeCell ref="K6:M6"/>
    <mergeCell ref="O6:P6"/>
    <mergeCell ref="B8:E8"/>
    <mergeCell ref="F8:G8"/>
    <mergeCell ref="H8:J8"/>
    <mergeCell ref="K8:M8"/>
    <mergeCell ref="O8:P8"/>
    <mergeCell ref="B7:E7"/>
    <mergeCell ref="F7:G7"/>
    <mergeCell ref="H7:J7"/>
    <mergeCell ref="K7:M7"/>
    <mergeCell ref="O7:P7"/>
    <mergeCell ref="B10:E10"/>
    <mergeCell ref="F10:G10"/>
    <mergeCell ref="H10:J10"/>
    <mergeCell ref="K10:M10"/>
    <mergeCell ref="O10:P10"/>
    <mergeCell ref="B9:E9"/>
    <mergeCell ref="F9:G9"/>
    <mergeCell ref="H9:J9"/>
    <mergeCell ref="K9:M9"/>
    <mergeCell ref="O9:P9"/>
    <mergeCell ref="B11:E11"/>
    <mergeCell ref="F11:G11"/>
    <mergeCell ref="H11:J11"/>
    <mergeCell ref="K11:M11"/>
    <mergeCell ref="O11:P1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B7E59-AD4C-4D3D-8620-291FA853C7D2}">
  <dimension ref="A1:AA19"/>
  <sheetViews>
    <sheetView workbookViewId="0">
      <selection activeCell="A8" sqref="A8"/>
    </sheetView>
  </sheetViews>
  <sheetFormatPr defaultColWidth="14.42578125" defaultRowHeight="15" customHeight="1" x14ac:dyDescent="0.2"/>
  <cols>
    <col min="1" max="1" width="7.85546875" customWidth="1"/>
    <col min="2" max="4" width="9.140625" customWidth="1"/>
    <col min="5" max="5" width="19.42578125" customWidth="1"/>
    <col min="6" max="6" width="9.28515625" customWidth="1"/>
    <col min="7" max="13" width="9.140625" customWidth="1"/>
    <col min="14" max="14" width="13.28515625" customWidth="1"/>
    <col min="15" max="15" width="9.140625" customWidth="1"/>
    <col min="16" max="16" width="18.28515625" customWidth="1"/>
    <col min="17" max="27" width="9.140625" customWidth="1"/>
  </cols>
  <sheetData>
    <row r="1" spans="1:27" ht="15.75" thickBot="1" x14ac:dyDescent="0.25">
      <c r="A1" s="2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54" customHeight="1" thickBot="1" x14ac:dyDescent="0.3">
      <c r="A2" s="5" t="s">
        <v>2</v>
      </c>
      <c r="B2" s="146" t="s">
        <v>3</v>
      </c>
      <c r="C2" s="147"/>
      <c r="D2" s="147"/>
      <c r="E2" s="147"/>
      <c r="F2" s="148" t="s">
        <v>0</v>
      </c>
      <c r="G2" s="147"/>
      <c r="H2" s="149" t="s">
        <v>1</v>
      </c>
      <c r="I2" s="150"/>
      <c r="J2" s="150"/>
      <c r="K2" s="148" t="s">
        <v>4</v>
      </c>
      <c r="L2" s="147"/>
      <c r="M2" s="151"/>
      <c r="N2" s="6" t="s">
        <v>5</v>
      </c>
      <c r="O2" s="152" t="s">
        <v>6</v>
      </c>
      <c r="P2" s="151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41.25" customHeight="1" thickBot="1" x14ac:dyDescent="0.25">
      <c r="A3" s="27"/>
      <c r="B3" s="63"/>
      <c r="C3" s="64"/>
      <c r="D3" s="64"/>
      <c r="E3" s="65"/>
      <c r="F3" s="66"/>
      <c r="G3" s="65"/>
      <c r="H3" s="67"/>
      <c r="I3" s="64"/>
      <c r="J3" s="65"/>
      <c r="K3" s="67"/>
      <c r="L3" s="64"/>
      <c r="M3" s="65"/>
      <c r="N3" s="8"/>
      <c r="O3" s="153"/>
      <c r="P3" s="78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7.5" customHeight="1" thickBot="1" x14ac:dyDescent="0.25">
      <c r="A4" s="10"/>
      <c r="B4" s="136"/>
      <c r="C4" s="137"/>
      <c r="D4" s="137"/>
      <c r="E4" s="137"/>
      <c r="F4" s="138"/>
      <c r="G4" s="137"/>
      <c r="H4" s="139"/>
      <c r="I4" s="140"/>
      <c r="J4" s="140"/>
      <c r="K4" s="141"/>
      <c r="L4" s="137"/>
      <c r="M4" s="137"/>
      <c r="N4" s="3"/>
      <c r="O4" s="2"/>
      <c r="P4" s="2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6.5" customHeight="1" thickBot="1" x14ac:dyDescent="0.25">
      <c r="A5" s="60" t="s">
        <v>2</v>
      </c>
      <c r="B5" s="142" t="s">
        <v>8</v>
      </c>
      <c r="C5" s="143"/>
      <c r="D5" s="143"/>
      <c r="E5" s="144"/>
      <c r="F5" s="145" t="s">
        <v>0</v>
      </c>
      <c r="G5" s="144"/>
      <c r="H5" s="145" t="s">
        <v>9</v>
      </c>
      <c r="I5" s="143"/>
      <c r="J5" s="144"/>
      <c r="K5" s="145" t="s">
        <v>4</v>
      </c>
      <c r="L5" s="143"/>
      <c r="M5" s="144"/>
      <c r="N5" s="6" t="s">
        <v>5</v>
      </c>
      <c r="O5" s="135" t="s">
        <v>6</v>
      </c>
      <c r="P5" s="78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5.75" customHeight="1" x14ac:dyDescent="0.2">
      <c r="A6" s="26" t="s">
        <v>98</v>
      </c>
      <c r="B6" s="129" t="s">
        <v>10</v>
      </c>
      <c r="C6" s="92"/>
      <c r="D6" s="92"/>
      <c r="E6" s="78"/>
      <c r="F6" s="130" t="s">
        <v>0</v>
      </c>
      <c r="G6" s="78"/>
      <c r="H6" s="131" t="s">
        <v>11</v>
      </c>
      <c r="I6" s="92"/>
      <c r="J6" s="78"/>
      <c r="K6" s="131"/>
      <c r="L6" s="92"/>
      <c r="M6" s="78"/>
      <c r="N6" s="13"/>
      <c r="O6" s="131"/>
      <c r="P6" s="78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5.75" customHeight="1" x14ac:dyDescent="0.2">
      <c r="A7" s="26" t="s">
        <v>99</v>
      </c>
      <c r="B7" s="129" t="s">
        <v>12</v>
      </c>
      <c r="C7" s="92"/>
      <c r="D7" s="92"/>
      <c r="E7" s="78"/>
      <c r="F7" s="130" t="s">
        <v>0</v>
      </c>
      <c r="G7" s="78"/>
      <c r="H7" s="131" t="s">
        <v>11</v>
      </c>
      <c r="I7" s="92"/>
      <c r="J7" s="78"/>
      <c r="K7" s="131"/>
      <c r="L7" s="92"/>
      <c r="M7" s="78"/>
      <c r="N7" s="13"/>
      <c r="O7" s="131"/>
      <c r="P7" s="78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5.75" customHeight="1" x14ac:dyDescent="0.2">
      <c r="A8" s="26" t="s">
        <v>100</v>
      </c>
      <c r="B8" s="129" t="s">
        <v>13</v>
      </c>
      <c r="C8" s="92"/>
      <c r="D8" s="92"/>
      <c r="E8" s="78"/>
      <c r="F8" s="130" t="s">
        <v>0</v>
      </c>
      <c r="G8" s="78"/>
      <c r="H8" s="131" t="s">
        <v>11</v>
      </c>
      <c r="I8" s="92"/>
      <c r="J8" s="78"/>
      <c r="K8" s="132"/>
      <c r="L8" s="92"/>
      <c r="M8" s="78"/>
      <c r="N8" s="13"/>
      <c r="O8" s="133"/>
      <c r="P8" s="78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5.75" customHeight="1" x14ac:dyDescent="0.2">
      <c r="A9" s="12"/>
      <c r="B9" s="129"/>
      <c r="C9" s="92"/>
      <c r="D9" s="92"/>
      <c r="E9" s="78"/>
      <c r="F9" s="130"/>
      <c r="G9" s="78"/>
      <c r="H9" s="131"/>
      <c r="I9" s="92"/>
      <c r="J9" s="78"/>
      <c r="K9" s="132"/>
      <c r="L9" s="92"/>
      <c r="M9" s="78"/>
      <c r="N9" s="13"/>
      <c r="O9" s="133"/>
      <c r="P9" s="78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15.75" customHeight="1" x14ac:dyDescent="0.2">
      <c r="A10" s="12"/>
      <c r="B10" s="129"/>
      <c r="C10" s="92"/>
      <c r="D10" s="92"/>
      <c r="E10" s="78"/>
      <c r="F10" s="130"/>
      <c r="G10" s="78"/>
      <c r="H10" s="131"/>
      <c r="I10" s="92"/>
      <c r="J10" s="78"/>
      <c r="K10" s="134"/>
      <c r="L10" s="92"/>
      <c r="M10" s="78"/>
      <c r="N10" s="13"/>
      <c r="O10" s="131"/>
      <c r="P10" s="78"/>
      <c r="Q10" s="4" t="s">
        <v>14</v>
      </c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5.75" customHeight="1" x14ac:dyDescent="0.2">
      <c r="A11" s="12"/>
      <c r="B11" s="129"/>
      <c r="C11" s="92"/>
      <c r="D11" s="92"/>
      <c r="E11" s="78"/>
      <c r="F11" s="130"/>
      <c r="G11" s="78"/>
      <c r="H11" s="131"/>
      <c r="I11" s="92"/>
      <c r="J11" s="78"/>
      <c r="K11" s="132"/>
      <c r="L11" s="92"/>
      <c r="M11" s="78"/>
      <c r="N11" s="13"/>
      <c r="O11" s="133"/>
      <c r="P11" s="78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</sheetData>
  <mergeCells count="49">
    <mergeCell ref="B3:E3"/>
    <mergeCell ref="F3:G3"/>
    <mergeCell ref="H3:J3"/>
    <mergeCell ref="K3:M3"/>
    <mergeCell ref="O3:P3"/>
    <mergeCell ref="B2:E2"/>
    <mergeCell ref="F2:G2"/>
    <mergeCell ref="H2:J2"/>
    <mergeCell ref="K2:M2"/>
    <mergeCell ref="O2:P2"/>
    <mergeCell ref="B4:E4"/>
    <mergeCell ref="F4:G4"/>
    <mergeCell ref="H4:J4"/>
    <mergeCell ref="K4:M4"/>
    <mergeCell ref="B5:E5"/>
    <mergeCell ref="F5:G5"/>
    <mergeCell ref="H5:J5"/>
    <mergeCell ref="K5:M5"/>
    <mergeCell ref="O5:P5"/>
    <mergeCell ref="B6:E6"/>
    <mergeCell ref="F6:G6"/>
    <mergeCell ref="H6:J6"/>
    <mergeCell ref="K6:M6"/>
    <mergeCell ref="O6:P6"/>
    <mergeCell ref="B8:E8"/>
    <mergeCell ref="F8:G8"/>
    <mergeCell ref="H8:J8"/>
    <mergeCell ref="K8:M8"/>
    <mergeCell ref="O8:P8"/>
    <mergeCell ref="B7:E7"/>
    <mergeCell ref="F7:G7"/>
    <mergeCell ref="H7:J7"/>
    <mergeCell ref="K7:M7"/>
    <mergeCell ref="O7:P7"/>
    <mergeCell ref="B10:E10"/>
    <mergeCell ref="F10:G10"/>
    <mergeCell ref="H10:J10"/>
    <mergeCell ref="K10:M10"/>
    <mergeCell ref="O10:P10"/>
    <mergeCell ref="B9:E9"/>
    <mergeCell ref="F9:G9"/>
    <mergeCell ref="H9:J9"/>
    <mergeCell ref="K9:M9"/>
    <mergeCell ref="O9:P9"/>
    <mergeCell ref="B11:E11"/>
    <mergeCell ref="F11:G11"/>
    <mergeCell ref="H11:J11"/>
    <mergeCell ref="K11:M11"/>
    <mergeCell ref="O11:P1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F25E3-8A3F-4BA1-A5D0-6FEFA1794C0C}">
  <dimension ref="A1:AA19"/>
  <sheetViews>
    <sheetView workbookViewId="0">
      <selection activeCell="A8" sqref="A8"/>
    </sheetView>
  </sheetViews>
  <sheetFormatPr defaultColWidth="14.42578125" defaultRowHeight="15" customHeight="1" x14ac:dyDescent="0.2"/>
  <cols>
    <col min="1" max="1" width="7.85546875" customWidth="1"/>
    <col min="2" max="4" width="9.140625" customWidth="1"/>
    <col min="5" max="5" width="19.42578125" customWidth="1"/>
    <col min="6" max="6" width="9.28515625" customWidth="1"/>
    <col min="7" max="13" width="9.140625" customWidth="1"/>
    <col min="14" max="14" width="13.28515625" customWidth="1"/>
    <col min="15" max="15" width="9.140625" customWidth="1"/>
    <col min="16" max="16" width="18.28515625" customWidth="1"/>
    <col min="17" max="27" width="9.140625" customWidth="1"/>
  </cols>
  <sheetData>
    <row r="1" spans="1:27" ht="15.75" thickBot="1" x14ac:dyDescent="0.25">
      <c r="A1" s="2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54" customHeight="1" thickBot="1" x14ac:dyDescent="0.3">
      <c r="A2" s="5" t="s">
        <v>2</v>
      </c>
      <c r="B2" s="146" t="s">
        <v>3</v>
      </c>
      <c r="C2" s="147"/>
      <c r="D2" s="147"/>
      <c r="E2" s="147"/>
      <c r="F2" s="148" t="s">
        <v>0</v>
      </c>
      <c r="G2" s="147"/>
      <c r="H2" s="149" t="s">
        <v>1</v>
      </c>
      <c r="I2" s="150"/>
      <c r="J2" s="150"/>
      <c r="K2" s="148" t="s">
        <v>4</v>
      </c>
      <c r="L2" s="147"/>
      <c r="M2" s="151"/>
      <c r="N2" s="6" t="s">
        <v>5</v>
      </c>
      <c r="O2" s="152" t="s">
        <v>6</v>
      </c>
      <c r="P2" s="151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41.25" customHeight="1" thickBot="1" x14ac:dyDescent="0.25">
      <c r="A3" s="27"/>
      <c r="B3" s="63"/>
      <c r="C3" s="64"/>
      <c r="D3" s="64"/>
      <c r="E3" s="65"/>
      <c r="F3" s="66"/>
      <c r="G3" s="65"/>
      <c r="H3" s="67"/>
      <c r="I3" s="64"/>
      <c r="J3" s="65"/>
      <c r="K3" s="67"/>
      <c r="L3" s="64"/>
      <c r="M3" s="65"/>
      <c r="N3" s="8"/>
      <c r="O3" s="153"/>
      <c r="P3" s="78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7.5" customHeight="1" thickBot="1" x14ac:dyDescent="0.25">
      <c r="A4" s="10"/>
      <c r="B4" s="136"/>
      <c r="C4" s="137"/>
      <c r="D4" s="137"/>
      <c r="E4" s="137"/>
      <c r="F4" s="138"/>
      <c r="G4" s="137"/>
      <c r="H4" s="139"/>
      <c r="I4" s="140"/>
      <c r="J4" s="140"/>
      <c r="K4" s="141"/>
      <c r="L4" s="137"/>
      <c r="M4" s="137"/>
      <c r="N4" s="3"/>
      <c r="O4" s="2"/>
      <c r="P4" s="2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6.5" customHeight="1" thickBot="1" x14ac:dyDescent="0.25">
      <c r="A5" s="60" t="s">
        <v>2</v>
      </c>
      <c r="B5" s="142" t="s">
        <v>8</v>
      </c>
      <c r="C5" s="143"/>
      <c r="D5" s="143"/>
      <c r="E5" s="144"/>
      <c r="F5" s="145" t="s">
        <v>0</v>
      </c>
      <c r="G5" s="144"/>
      <c r="H5" s="145" t="s">
        <v>9</v>
      </c>
      <c r="I5" s="143"/>
      <c r="J5" s="144"/>
      <c r="K5" s="145" t="s">
        <v>4</v>
      </c>
      <c r="L5" s="143"/>
      <c r="M5" s="144"/>
      <c r="N5" s="6" t="s">
        <v>5</v>
      </c>
      <c r="O5" s="135" t="s">
        <v>6</v>
      </c>
      <c r="P5" s="78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5.75" customHeight="1" x14ac:dyDescent="0.2">
      <c r="A6" s="26" t="s">
        <v>101</v>
      </c>
      <c r="B6" s="129" t="s">
        <v>10</v>
      </c>
      <c r="C6" s="92"/>
      <c r="D6" s="92"/>
      <c r="E6" s="78"/>
      <c r="F6" s="130" t="s">
        <v>0</v>
      </c>
      <c r="G6" s="78"/>
      <c r="H6" s="131" t="s">
        <v>11</v>
      </c>
      <c r="I6" s="92"/>
      <c r="J6" s="78"/>
      <c r="K6" s="131"/>
      <c r="L6" s="92"/>
      <c r="M6" s="78"/>
      <c r="N6" s="13"/>
      <c r="O6" s="131"/>
      <c r="P6" s="78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5.75" customHeight="1" x14ac:dyDescent="0.2">
      <c r="A7" s="26" t="s">
        <v>102</v>
      </c>
      <c r="B7" s="129" t="s">
        <v>12</v>
      </c>
      <c r="C7" s="92"/>
      <c r="D7" s="92"/>
      <c r="E7" s="78"/>
      <c r="F7" s="130" t="s">
        <v>0</v>
      </c>
      <c r="G7" s="78"/>
      <c r="H7" s="131" t="s">
        <v>11</v>
      </c>
      <c r="I7" s="92"/>
      <c r="J7" s="78"/>
      <c r="K7" s="131"/>
      <c r="L7" s="92"/>
      <c r="M7" s="78"/>
      <c r="N7" s="13"/>
      <c r="O7" s="131"/>
      <c r="P7" s="78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5.75" customHeight="1" x14ac:dyDescent="0.2">
      <c r="A8" s="26" t="s">
        <v>103</v>
      </c>
      <c r="B8" s="129" t="s">
        <v>13</v>
      </c>
      <c r="C8" s="92"/>
      <c r="D8" s="92"/>
      <c r="E8" s="78"/>
      <c r="F8" s="130" t="s">
        <v>0</v>
      </c>
      <c r="G8" s="78"/>
      <c r="H8" s="131" t="s">
        <v>11</v>
      </c>
      <c r="I8" s="92"/>
      <c r="J8" s="78"/>
      <c r="K8" s="132"/>
      <c r="L8" s="92"/>
      <c r="M8" s="78"/>
      <c r="N8" s="13"/>
      <c r="O8" s="133"/>
      <c r="P8" s="78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5.75" customHeight="1" x14ac:dyDescent="0.2">
      <c r="A9" s="12"/>
      <c r="B9" s="129"/>
      <c r="C9" s="92"/>
      <c r="D9" s="92"/>
      <c r="E9" s="78"/>
      <c r="F9" s="130"/>
      <c r="G9" s="78"/>
      <c r="H9" s="131"/>
      <c r="I9" s="92"/>
      <c r="J9" s="78"/>
      <c r="K9" s="132"/>
      <c r="L9" s="92"/>
      <c r="M9" s="78"/>
      <c r="N9" s="13"/>
      <c r="O9" s="133"/>
      <c r="P9" s="78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15.75" customHeight="1" x14ac:dyDescent="0.2">
      <c r="A10" s="12"/>
      <c r="B10" s="129"/>
      <c r="C10" s="92"/>
      <c r="D10" s="92"/>
      <c r="E10" s="78"/>
      <c r="F10" s="130"/>
      <c r="G10" s="78"/>
      <c r="H10" s="131"/>
      <c r="I10" s="92"/>
      <c r="J10" s="78"/>
      <c r="K10" s="134"/>
      <c r="L10" s="92"/>
      <c r="M10" s="78"/>
      <c r="N10" s="13"/>
      <c r="O10" s="131"/>
      <c r="P10" s="78"/>
      <c r="Q10" s="4" t="s">
        <v>14</v>
      </c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5.75" customHeight="1" x14ac:dyDescent="0.2">
      <c r="A11" s="12"/>
      <c r="B11" s="129"/>
      <c r="C11" s="92"/>
      <c r="D11" s="92"/>
      <c r="E11" s="78"/>
      <c r="F11" s="130"/>
      <c r="G11" s="78"/>
      <c r="H11" s="131"/>
      <c r="I11" s="92"/>
      <c r="J11" s="78"/>
      <c r="K11" s="132"/>
      <c r="L11" s="92"/>
      <c r="M11" s="78"/>
      <c r="N11" s="13"/>
      <c r="O11" s="133"/>
      <c r="P11" s="78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</sheetData>
  <mergeCells count="49">
    <mergeCell ref="B3:E3"/>
    <mergeCell ref="F3:G3"/>
    <mergeCell ref="H3:J3"/>
    <mergeCell ref="K3:M3"/>
    <mergeCell ref="O3:P3"/>
    <mergeCell ref="B2:E2"/>
    <mergeCell ref="F2:G2"/>
    <mergeCell ref="H2:J2"/>
    <mergeCell ref="K2:M2"/>
    <mergeCell ref="O2:P2"/>
    <mergeCell ref="B4:E4"/>
    <mergeCell ref="F4:G4"/>
    <mergeCell ref="H4:J4"/>
    <mergeCell ref="K4:M4"/>
    <mergeCell ref="B5:E5"/>
    <mergeCell ref="F5:G5"/>
    <mergeCell ref="H5:J5"/>
    <mergeCell ref="K5:M5"/>
    <mergeCell ref="O5:P5"/>
    <mergeCell ref="B6:E6"/>
    <mergeCell ref="F6:G6"/>
    <mergeCell ref="H6:J6"/>
    <mergeCell ref="K6:M6"/>
    <mergeCell ref="O6:P6"/>
    <mergeCell ref="B8:E8"/>
    <mergeCell ref="F8:G8"/>
    <mergeCell ref="H8:J8"/>
    <mergeCell ref="K8:M8"/>
    <mergeCell ref="O8:P8"/>
    <mergeCell ref="B7:E7"/>
    <mergeCell ref="F7:G7"/>
    <mergeCell ref="H7:J7"/>
    <mergeCell ref="K7:M7"/>
    <mergeCell ref="O7:P7"/>
    <mergeCell ref="B10:E10"/>
    <mergeCell ref="F10:G10"/>
    <mergeCell ref="H10:J10"/>
    <mergeCell ref="K10:M10"/>
    <mergeCell ref="O10:P10"/>
    <mergeCell ref="B9:E9"/>
    <mergeCell ref="F9:G9"/>
    <mergeCell ref="H9:J9"/>
    <mergeCell ref="K9:M9"/>
    <mergeCell ref="O9:P9"/>
    <mergeCell ref="B11:E11"/>
    <mergeCell ref="F11:G11"/>
    <mergeCell ref="H11:J11"/>
    <mergeCell ref="K11:M11"/>
    <mergeCell ref="O11:P1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9D30C-A7ED-44C0-BCCE-D5162FB3D57F}">
  <dimension ref="A1:AA19"/>
  <sheetViews>
    <sheetView workbookViewId="0">
      <selection activeCell="A8" sqref="A8"/>
    </sheetView>
  </sheetViews>
  <sheetFormatPr defaultColWidth="14.42578125" defaultRowHeight="15" customHeight="1" x14ac:dyDescent="0.2"/>
  <cols>
    <col min="1" max="1" width="7.85546875" customWidth="1"/>
    <col min="2" max="4" width="9.140625" customWidth="1"/>
    <col min="5" max="5" width="19.42578125" customWidth="1"/>
    <col min="6" max="6" width="9.28515625" customWidth="1"/>
    <col min="7" max="13" width="9.140625" customWidth="1"/>
    <col min="14" max="14" width="13.28515625" customWidth="1"/>
    <col min="15" max="15" width="9.140625" customWidth="1"/>
    <col min="16" max="16" width="18.28515625" customWidth="1"/>
    <col min="17" max="27" width="9.140625" customWidth="1"/>
  </cols>
  <sheetData>
    <row r="1" spans="1:27" ht="15.75" thickBot="1" x14ac:dyDescent="0.25">
      <c r="A1" s="2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54" customHeight="1" thickBot="1" x14ac:dyDescent="0.3">
      <c r="A2" s="5" t="s">
        <v>2</v>
      </c>
      <c r="B2" s="146" t="s">
        <v>3</v>
      </c>
      <c r="C2" s="147"/>
      <c r="D2" s="147"/>
      <c r="E2" s="147"/>
      <c r="F2" s="148" t="s">
        <v>0</v>
      </c>
      <c r="G2" s="147"/>
      <c r="H2" s="149" t="s">
        <v>1</v>
      </c>
      <c r="I2" s="150"/>
      <c r="J2" s="150"/>
      <c r="K2" s="148" t="s">
        <v>4</v>
      </c>
      <c r="L2" s="147"/>
      <c r="M2" s="151"/>
      <c r="N2" s="6" t="s">
        <v>5</v>
      </c>
      <c r="O2" s="152" t="s">
        <v>6</v>
      </c>
      <c r="P2" s="151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41.25" customHeight="1" thickBot="1" x14ac:dyDescent="0.25">
      <c r="A3" s="27"/>
      <c r="B3" s="63"/>
      <c r="C3" s="64"/>
      <c r="D3" s="64"/>
      <c r="E3" s="65"/>
      <c r="F3" s="66"/>
      <c r="G3" s="65"/>
      <c r="H3" s="67"/>
      <c r="I3" s="64"/>
      <c r="J3" s="65"/>
      <c r="K3" s="67"/>
      <c r="L3" s="64"/>
      <c r="M3" s="65"/>
      <c r="N3" s="8"/>
      <c r="O3" s="153"/>
      <c r="P3" s="78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7.5" customHeight="1" thickBot="1" x14ac:dyDescent="0.25">
      <c r="A4" s="10"/>
      <c r="B4" s="136"/>
      <c r="C4" s="137"/>
      <c r="D4" s="137"/>
      <c r="E4" s="137"/>
      <c r="F4" s="138"/>
      <c r="G4" s="137"/>
      <c r="H4" s="139"/>
      <c r="I4" s="140"/>
      <c r="J4" s="140"/>
      <c r="K4" s="141"/>
      <c r="L4" s="137"/>
      <c r="M4" s="137"/>
      <c r="N4" s="3"/>
      <c r="O4" s="2"/>
      <c r="P4" s="2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6.5" customHeight="1" thickBot="1" x14ac:dyDescent="0.25">
      <c r="A5" s="60" t="s">
        <v>2</v>
      </c>
      <c r="B5" s="142" t="s">
        <v>8</v>
      </c>
      <c r="C5" s="143"/>
      <c r="D5" s="143"/>
      <c r="E5" s="144"/>
      <c r="F5" s="145" t="s">
        <v>0</v>
      </c>
      <c r="G5" s="144"/>
      <c r="H5" s="145" t="s">
        <v>9</v>
      </c>
      <c r="I5" s="143"/>
      <c r="J5" s="144"/>
      <c r="K5" s="145" t="s">
        <v>4</v>
      </c>
      <c r="L5" s="143"/>
      <c r="M5" s="144"/>
      <c r="N5" s="6" t="s">
        <v>5</v>
      </c>
      <c r="O5" s="135" t="s">
        <v>6</v>
      </c>
      <c r="P5" s="78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5.75" customHeight="1" x14ac:dyDescent="0.2">
      <c r="A6" s="26" t="s">
        <v>104</v>
      </c>
      <c r="B6" s="129" t="s">
        <v>10</v>
      </c>
      <c r="C6" s="92"/>
      <c r="D6" s="92"/>
      <c r="E6" s="78"/>
      <c r="F6" s="130" t="s">
        <v>0</v>
      </c>
      <c r="G6" s="78"/>
      <c r="H6" s="131" t="s">
        <v>11</v>
      </c>
      <c r="I6" s="92"/>
      <c r="J6" s="78"/>
      <c r="K6" s="131"/>
      <c r="L6" s="92"/>
      <c r="M6" s="78"/>
      <c r="N6" s="13"/>
      <c r="O6" s="131"/>
      <c r="P6" s="78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5.75" customHeight="1" x14ac:dyDescent="0.2">
      <c r="A7" s="26" t="s">
        <v>105</v>
      </c>
      <c r="B7" s="129" t="s">
        <v>12</v>
      </c>
      <c r="C7" s="92"/>
      <c r="D7" s="92"/>
      <c r="E7" s="78"/>
      <c r="F7" s="130" t="s">
        <v>0</v>
      </c>
      <c r="G7" s="78"/>
      <c r="H7" s="131" t="s">
        <v>11</v>
      </c>
      <c r="I7" s="92"/>
      <c r="J7" s="78"/>
      <c r="K7" s="131"/>
      <c r="L7" s="92"/>
      <c r="M7" s="78"/>
      <c r="N7" s="13"/>
      <c r="O7" s="131"/>
      <c r="P7" s="78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5.75" customHeight="1" x14ac:dyDescent="0.2">
      <c r="A8" s="26" t="s">
        <v>106</v>
      </c>
      <c r="B8" s="129" t="s">
        <v>13</v>
      </c>
      <c r="C8" s="92"/>
      <c r="D8" s="92"/>
      <c r="E8" s="78"/>
      <c r="F8" s="130" t="s">
        <v>0</v>
      </c>
      <c r="G8" s="78"/>
      <c r="H8" s="131" t="s">
        <v>11</v>
      </c>
      <c r="I8" s="92"/>
      <c r="J8" s="78"/>
      <c r="K8" s="132"/>
      <c r="L8" s="92"/>
      <c r="M8" s="78"/>
      <c r="N8" s="13"/>
      <c r="O8" s="133"/>
      <c r="P8" s="78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5.75" customHeight="1" x14ac:dyDescent="0.2">
      <c r="A9" s="12"/>
      <c r="B9" s="129"/>
      <c r="C9" s="92"/>
      <c r="D9" s="92"/>
      <c r="E9" s="78"/>
      <c r="F9" s="130"/>
      <c r="G9" s="78"/>
      <c r="H9" s="131"/>
      <c r="I9" s="92"/>
      <c r="J9" s="78"/>
      <c r="K9" s="132"/>
      <c r="L9" s="92"/>
      <c r="M9" s="78"/>
      <c r="N9" s="13"/>
      <c r="O9" s="133"/>
      <c r="P9" s="78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15.75" customHeight="1" x14ac:dyDescent="0.2">
      <c r="A10" s="12"/>
      <c r="B10" s="129"/>
      <c r="C10" s="92"/>
      <c r="D10" s="92"/>
      <c r="E10" s="78"/>
      <c r="F10" s="130"/>
      <c r="G10" s="78"/>
      <c r="H10" s="131"/>
      <c r="I10" s="92"/>
      <c r="J10" s="78"/>
      <c r="K10" s="134"/>
      <c r="L10" s="92"/>
      <c r="M10" s="78"/>
      <c r="N10" s="13"/>
      <c r="O10" s="131"/>
      <c r="P10" s="78"/>
      <c r="Q10" s="4" t="s">
        <v>14</v>
      </c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5.75" customHeight="1" x14ac:dyDescent="0.2">
      <c r="A11" s="12"/>
      <c r="B11" s="129"/>
      <c r="C11" s="92"/>
      <c r="D11" s="92"/>
      <c r="E11" s="78"/>
      <c r="F11" s="130"/>
      <c r="G11" s="78"/>
      <c r="H11" s="131"/>
      <c r="I11" s="92"/>
      <c r="J11" s="78"/>
      <c r="K11" s="132"/>
      <c r="L11" s="92"/>
      <c r="M11" s="78"/>
      <c r="N11" s="13"/>
      <c r="O11" s="133"/>
      <c r="P11" s="78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</sheetData>
  <mergeCells count="49">
    <mergeCell ref="B3:E3"/>
    <mergeCell ref="F3:G3"/>
    <mergeCell ref="H3:J3"/>
    <mergeCell ref="K3:M3"/>
    <mergeCell ref="O3:P3"/>
    <mergeCell ref="B2:E2"/>
    <mergeCell ref="F2:G2"/>
    <mergeCell ref="H2:J2"/>
    <mergeCell ref="K2:M2"/>
    <mergeCell ref="O2:P2"/>
    <mergeCell ref="B4:E4"/>
    <mergeCell ref="F4:G4"/>
    <mergeCell ref="H4:J4"/>
    <mergeCell ref="K4:M4"/>
    <mergeCell ref="B5:E5"/>
    <mergeCell ref="F5:G5"/>
    <mergeCell ref="H5:J5"/>
    <mergeCell ref="K5:M5"/>
    <mergeCell ref="O5:P5"/>
    <mergeCell ref="B6:E6"/>
    <mergeCell ref="F6:G6"/>
    <mergeCell ref="H6:J6"/>
    <mergeCell ref="K6:M6"/>
    <mergeCell ref="O6:P6"/>
    <mergeCell ref="B8:E8"/>
    <mergeCell ref="F8:G8"/>
    <mergeCell ref="H8:J8"/>
    <mergeCell ref="K8:M8"/>
    <mergeCell ref="O8:P8"/>
    <mergeCell ref="B7:E7"/>
    <mergeCell ref="F7:G7"/>
    <mergeCell ref="H7:J7"/>
    <mergeCell ref="K7:M7"/>
    <mergeCell ref="O7:P7"/>
    <mergeCell ref="B10:E10"/>
    <mergeCell ref="F10:G10"/>
    <mergeCell ref="H10:J10"/>
    <mergeCell ref="K10:M10"/>
    <mergeCell ref="O10:P10"/>
    <mergeCell ref="B9:E9"/>
    <mergeCell ref="F9:G9"/>
    <mergeCell ref="H9:J9"/>
    <mergeCell ref="K9:M9"/>
    <mergeCell ref="O9:P9"/>
    <mergeCell ref="B11:E11"/>
    <mergeCell ref="F11:G11"/>
    <mergeCell ref="H11:J11"/>
    <mergeCell ref="K11:M11"/>
    <mergeCell ref="O11:P1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82C24-5439-4C2E-9443-1418AEDC88F1}">
  <dimension ref="A1:AA19"/>
  <sheetViews>
    <sheetView workbookViewId="0">
      <selection activeCell="A8" sqref="A8"/>
    </sheetView>
  </sheetViews>
  <sheetFormatPr defaultColWidth="14.42578125" defaultRowHeight="15" customHeight="1" x14ac:dyDescent="0.2"/>
  <cols>
    <col min="1" max="1" width="7.85546875" customWidth="1"/>
    <col min="2" max="4" width="9.140625" customWidth="1"/>
    <col min="5" max="5" width="19.42578125" customWidth="1"/>
    <col min="6" max="6" width="9.28515625" customWidth="1"/>
    <col min="7" max="13" width="9.140625" customWidth="1"/>
    <col min="14" max="14" width="13.28515625" customWidth="1"/>
    <col min="15" max="15" width="9.140625" customWidth="1"/>
    <col min="16" max="16" width="18.28515625" customWidth="1"/>
    <col min="17" max="27" width="9.140625" customWidth="1"/>
  </cols>
  <sheetData>
    <row r="1" spans="1:27" ht="15.75" thickBot="1" x14ac:dyDescent="0.25">
      <c r="A1" s="2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54" customHeight="1" thickBot="1" x14ac:dyDescent="0.3">
      <c r="A2" s="5" t="s">
        <v>2</v>
      </c>
      <c r="B2" s="146" t="s">
        <v>3</v>
      </c>
      <c r="C2" s="147"/>
      <c r="D2" s="147"/>
      <c r="E2" s="147"/>
      <c r="F2" s="148" t="s">
        <v>0</v>
      </c>
      <c r="G2" s="147"/>
      <c r="H2" s="149" t="s">
        <v>1</v>
      </c>
      <c r="I2" s="150"/>
      <c r="J2" s="150"/>
      <c r="K2" s="148" t="s">
        <v>4</v>
      </c>
      <c r="L2" s="147"/>
      <c r="M2" s="151"/>
      <c r="N2" s="6" t="s">
        <v>5</v>
      </c>
      <c r="O2" s="152" t="s">
        <v>6</v>
      </c>
      <c r="P2" s="151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41.25" customHeight="1" thickBot="1" x14ac:dyDescent="0.25">
      <c r="A3" s="27"/>
      <c r="B3" s="63"/>
      <c r="C3" s="64"/>
      <c r="D3" s="64"/>
      <c r="E3" s="65"/>
      <c r="F3" s="66"/>
      <c r="G3" s="65"/>
      <c r="H3" s="67"/>
      <c r="I3" s="64"/>
      <c r="J3" s="65"/>
      <c r="K3" s="67"/>
      <c r="L3" s="64"/>
      <c r="M3" s="65"/>
      <c r="N3" s="8"/>
      <c r="O3" s="153"/>
      <c r="P3" s="78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7.5" customHeight="1" thickBot="1" x14ac:dyDescent="0.25">
      <c r="A4" s="10"/>
      <c r="B4" s="136"/>
      <c r="C4" s="137"/>
      <c r="D4" s="137"/>
      <c r="E4" s="137"/>
      <c r="F4" s="138"/>
      <c r="G4" s="137"/>
      <c r="H4" s="139"/>
      <c r="I4" s="140"/>
      <c r="J4" s="140"/>
      <c r="K4" s="141"/>
      <c r="L4" s="137"/>
      <c r="M4" s="137"/>
      <c r="N4" s="3"/>
      <c r="O4" s="2"/>
      <c r="P4" s="2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6.5" customHeight="1" thickBot="1" x14ac:dyDescent="0.25">
      <c r="A5" s="60" t="s">
        <v>2</v>
      </c>
      <c r="B5" s="142" t="s">
        <v>8</v>
      </c>
      <c r="C5" s="143"/>
      <c r="D5" s="143"/>
      <c r="E5" s="144"/>
      <c r="F5" s="145" t="s">
        <v>0</v>
      </c>
      <c r="G5" s="144"/>
      <c r="H5" s="145" t="s">
        <v>9</v>
      </c>
      <c r="I5" s="143"/>
      <c r="J5" s="144"/>
      <c r="K5" s="145" t="s">
        <v>4</v>
      </c>
      <c r="L5" s="143"/>
      <c r="M5" s="144"/>
      <c r="N5" s="6" t="s">
        <v>5</v>
      </c>
      <c r="O5" s="135" t="s">
        <v>6</v>
      </c>
      <c r="P5" s="78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5.75" customHeight="1" x14ac:dyDescent="0.2">
      <c r="A6" s="26" t="s">
        <v>41</v>
      </c>
      <c r="B6" s="129" t="s">
        <v>10</v>
      </c>
      <c r="C6" s="92"/>
      <c r="D6" s="92"/>
      <c r="E6" s="78"/>
      <c r="F6" s="130" t="s">
        <v>0</v>
      </c>
      <c r="G6" s="78"/>
      <c r="H6" s="131" t="s">
        <v>11</v>
      </c>
      <c r="I6" s="92"/>
      <c r="J6" s="78"/>
      <c r="K6" s="131"/>
      <c r="L6" s="92"/>
      <c r="M6" s="78"/>
      <c r="N6" s="13"/>
      <c r="O6" s="131"/>
      <c r="P6" s="78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5.75" customHeight="1" x14ac:dyDescent="0.2">
      <c r="A7" s="26" t="s">
        <v>42</v>
      </c>
      <c r="B7" s="129" t="s">
        <v>12</v>
      </c>
      <c r="C7" s="92"/>
      <c r="D7" s="92"/>
      <c r="E7" s="78"/>
      <c r="F7" s="130" t="s">
        <v>0</v>
      </c>
      <c r="G7" s="78"/>
      <c r="H7" s="131" t="s">
        <v>11</v>
      </c>
      <c r="I7" s="92"/>
      <c r="J7" s="78"/>
      <c r="K7" s="131"/>
      <c r="L7" s="92"/>
      <c r="M7" s="78"/>
      <c r="N7" s="13"/>
      <c r="O7" s="131"/>
      <c r="P7" s="78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5.75" customHeight="1" x14ac:dyDescent="0.2">
      <c r="A8" s="26" t="s">
        <v>43</v>
      </c>
      <c r="B8" s="129" t="s">
        <v>13</v>
      </c>
      <c r="C8" s="92"/>
      <c r="D8" s="92"/>
      <c r="E8" s="78"/>
      <c r="F8" s="130" t="s">
        <v>0</v>
      </c>
      <c r="G8" s="78"/>
      <c r="H8" s="131" t="s">
        <v>11</v>
      </c>
      <c r="I8" s="92"/>
      <c r="J8" s="78"/>
      <c r="K8" s="132"/>
      <c r="L8" s="92"/>
      <c r="M8" s="78"/>
      <c r="N8" s="13"/>
      <c r="O8" s="133"/>
      <c r="P8" s="78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5.75" customHeight="1" x14ac:dyDescent="0.2">
      <c r="A9" s="12"/>
      <c r="B9" s="129"/>
      <c r="C9" s="92"/>
      <c r="D9" s="92"/>
      <c r="E9" s="78"/>
      <c r="F9" s="130"/>
      <c r="G9" s="78"/>
      <c r="H9" s="131"/>
      <c r="I9" s="92"/>
      <c r="J9" s="78"/>
      <c r="K9" s="132"/>
      <c r="L9" s="92"/>
      <c r="M9" s="78"/>
      <c r="N9" s="13"/>
      <c r="O9" s="133"/>
      <c r="P9" s="78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15.75" customHeight="1" x14ac:dyDescent="0.2">
      <c r="A10" s="12"/>
      <c r="B10" s="129"/>
      <c r="C10" s="92"/>
      <c r="D10" s="92"/>
      <c r="E10" s="78"/>
      <c r="F10" s="130"/>
      <c r="G10" s="78"/>
      <c r="H10" s="131"/>
      <c r="I10" s="92"/>
      <c r="J10" s="78"/>
      <c r="K10" s="134"/>
      <c r="L10" s="92"/>
      <c r="M10" s="78"/>
      <c r="N10" s="13"/>
      <c r="O10" s="131"/>
      <c r="P10" s="78"/>
      <c r="Q10" s="4" t="s">
        <v>14</v>
      </c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5.75" customHeight="1" x14ac:dyDescent="0.2">
      <c r="A11" s="12"/>
      <c r="B11" s="129"/>
      <c r="C11" s="92"/>
      <c r="D11" s="92"/>
      <c r="E11" s="78"/>
      <c r="F11" s="130"/>
      <c r="G11" s="78"/>
      <c r="H11" s="131"/>
      <c r="I11" s="92"/>
      <c r="J11" s="78"/>
      <c r="K11" s="132"/>
      <c r="L11" s="92"/>
      <c r="M11" s="78"/>
      <c r="N11" s="13"/>
      <c r="O11" s="133"/>
      <c r="P11" s="78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</sheetData>
  <mergeCells count="49">
    <mergeCell ref="B3:E3"/>
    <mergeCell ref="F3:G3"/>
    <mergeCell ref="H3:J3"/>
    <mergeCell ref="K3:M3"/>
    <mergeCell ref="O3:P3"/>
    <mergeCell ref="B2:E2"/>
    <mergeCell ref="F2:G2"/>
    <mergeCell ref="H2:J2"/>
    <mergeCell ref="K2:M2"/>
    <mergeCell ref="O2:P2"/>
    <mergeCell ref="B4:E4"/>
    <mergeCell ref="F4:G4"/>
    <mergeCell ref="H4:J4"/>
    <mergeCell ref="K4:M4"/>
    <mergeCell ref="B5:E5"/>
    <mergeCell ref="F5:G5"/>
    <mergeCell ref="H5:J5"/>
    <mergeCell ref="K5:M5"/>
    <mergeCell ref="O5:P5"/>
    <mergeCell ref="B6:E6"/>
    <mergeCell ref="F6:G6"/>
    <mergeCell ref="H6:J6"/>
    <mergeCell ref="K6:M6"/>
    <mergeCell ref="O6:P6"/>
    <mergeCell ref="B8:E8"/>
    <mergeCell ref="F8:G8"/>
    <mergeCell ref="H8:J8"/>
    <mergeCell ref="K8:M8"/>
    <mergeCell ref="O8:P8"/>
    <mergeCell ref="B7:E7"/>
    <mergeCell ref="F7:G7"/>
    <mergeCell ref="H7:J7"/>
    <mergeCell ref="K7:M7"/>
    <mergeCell ref="O7:P7"/>
    <mergeCell ref="B10:E10"/>
    <mergeCell ref="F10:G10"/>
    <mergeCell ref="H10:J10"/>
    <mergeCell ref="K10:M10"/>
    <mergeCell ref="O10:P10"/>
    <mergeCell ref="B9:E9"/>
    <mergeCell ref="F9:G9"/>
    <mergeCell ref="H9:J9"/>
    <mergeCell ref="K9:M9"/>
    <mergeCell ref="O9:P9"/>
    <mergeCell ref="B11:E11"/>
    <mergeCell ref="F11:G11"/>
    <mergeCell ref="H11:J11"/>
    <mergeCell ref="K11:M11"/>
    <mergeCell ref="O11:P1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F80EC-7E14-4E79-ABCD-926278F952B3}">
  <dimension ref="A1:AA19"/>
  <sheetViews>
    <sheetView workbookViewId="0">
      <selection activeCell="A8" sqref="A8"/>
    </sheetView>
  </sheetViews>
  <sheetFormatPr defaultColWidth="14.42578125" defaultRowHeight="15" customHeight="1" x14ac:dyDescent="0.2"/>
  <cols>
    <col min="1" max="1" width="7.85546875" customWidth="1"/>
    <col min="2" max="4" width="9.140625" customWidth="1"/>
    <col min="5" max="5" width="19.42578125" customWidth="1"/>
    <col min="6" max="6" width="9.28515625" customWidth="1"/>
    <col min="7" max="13" width="9.140625" customWidth="1"/>
    <col min="14" max="14" width="13.28515625" customWidth="1"/>
    <col min="15" max="15" width="9.140625" customWidth="1"/>
    <col min="16" max="16" width="18.28515625" customWidth="1"/>
    <col min="17" max="27" width="9.140625" customWidth="1"/>
  </cols>
  <sheetData>
    <row r="1" spans="1:27" ht="15.75" thickBot="1" x14ac:dyDescent="0.25">
      <c r="A1" s="2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54" customHeight="1" thickBot="1" x14ac:dyDescent="0.3">
      <c r="A2" s="5" t="s">
        <v>2</v>
      </c>
      <c r="B2" s="146" t="s">
        <v>3</v>
      </c>
      <c r="C2" s="147"/>
      <c r="D2" s="147"/>
      <c r="E2" s="147"/>
      <c r="F2" s="148" t="s">
        <v>0</v>
      </c>
      <c r="G2" s="147"/>
      <c r="H2" s="149" t="s">
        <v>1</v>
      </c>
      <c r="I2" s="150"/>
      <c r="J2" s="150"/>
      <c r="K2" s="148" t="s">
        <v>4</v>
      </c>
      <c r="L2" s="147"/>
      <c r="M2" s="151"/>
      <c r="N2" s="6" t="s">
        <v>5</v>
      </c>
      <c r="O2" s="152" t="s">
        <v>6</v>
      </c>
      <c r="P2" s="151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41.25" customHeight="1" thickBot="1" x14ac:dyDescent="0.25">
      <c r="A3" s="27"/>
      <c r="B3" s="63"/>
      <c r="C3" s="64"/>
      <c r="D3" s="64"/>
      <c r="E3" s="65"/>
      <c r="F3" s="66"/>
      <c r="G3" s="65"/>
      <c r="H3" s="67"/>
      <c r="I3" s="64"/>
      <c r="J3" s="65"/>
      <c r="K3" s="67"/>
      <c r="L3" s="64"/>
      <c r="M3" s="65"/>
      <c r="N3" s="8"/>
      <c r="O3" s="153"/>
      <c r="P3" s="78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7.5" customHeight="1" thickBot="1" x14ac:dyDescent="0.25">
      <c r="A4" s="10"/>
      <c r="B4" s="136"/>
      <c r="C4" s="137"/>
      <c r="D4" s="137"/>
      <c r="E4" s="137"/>
      <c r="F4" s="138"/>
      <c r="G4" s="137"/>
      <c r="H4" s="139"/>
      <c r="I4" s="140"/>
      <c r="J4" s="140"/>
      <c r="K4" s="141"/>
      <c r="L4" s="137"/>
      <c r="M4" s="137"/>
      <c r="N4" s="3"/>
      <c r="O4" s="2"/>
      <c r="P4" s="2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6.5" customHeight="1" thickBot="1" x14ac:dyDescent="0.25">
      <c r="A5" s="60" t="s">
        <v>2</v>
      </c>
      <c r="B5" s="142" t="s">
        <v>8</v>
      </c>
      <c r="C5" s="143"/>
      <c r="D5" s="143"/>
      <c r="E5" s="144"/>
      <c r="F5" s="145" t="s">
        <v>0</v>
      </c>
      <c r="G5" s="144"/>
      <c r="H5" s="145" t="s">
        <v>9</v>
      </c>
      <c r="I5" s="143"/>
      <c r="J5" s="144"/>
      <c r="K5" s="145" t="s">
        <v>4</v>
      </c>
      <c r="L5" s="143"/>
      <c r="M5" s="144"/>
      <c r="N5" s="6" t="s">
        <v>5</v>
      </c>
      <c r="O5" s="135" t="s">
        <v>6</v>
      </c>
      <c r="P5" s="78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5.75" customHeight="1" x14ac:dyDescent="0.2">
      <c r="A6" s="26" t="s">
        <v>44</v>
      </c>
      <c r="B6" s="129" t="s">
        <v>10</v>
      </c>
      <c r="C6" s="92"/>
      <c r="D6" s="92"/>
      <c r="E6" s="78"/>
      <c r="F6" s="130" t="s">
        <v>0</v>
      </c>
      <c r="G6" s="78"/>
      <c r="H6" s="131" t="s">
        <v>11</v>
      </c>
      <c r="I6" s="92"/>
      <c r="J6" s="78"/>
      <c r="K6" s="131"/>
      <c r="L6" s="92"/>
      <c r="M6" s="78"/>
      <c r="N6" s="13"/>
      <c r="O6" s="131"/>
      <c r="P6" s="78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5.75" customHeight="1" x14ac:dyDescent="0.2">
      <c r="A7" s="26" t="s">
        <v>45</v>
      </c>
      <c r="B7" s="129" t="s">
        <v>12</v>
      </c>
      <c r="C7" s="92"/>
      <c r="D7" s="92"/>
      <c r="E7" s="78"/>
      <c r="F7" s="130" t="s">
        <v>0</v>
      </c>
      <c r="G7" s="78"/>
      <c r="H7" s="131" t="s">
        <v>11</v>
      </c>
      <c r="I7" s="92"/>
      <c r="J7" s="78"/>
      <c r="K7" s="131"/>
      <c r="L7" s="92"/>
      <c r="M7" s="78"/>
      <c r="N7" s="13"/>
      <c r="O7" s="131"/>
      <c r="P7" s="78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5.75" customHeight="1" x14ac:dyDescent="0.2">
      <c r="A8" s="26" t="s">
        <v>46</v>
      </c>
      <c r="B8" s="129" t="s">
        <v>13</v>
      </c>
      <c r="C8" s="92"/>
      <c r="D8" s="92"/>
      <c r="E8" s="78"/>
      <c r="F8" s="130" t="s">
        <v>0</v>
      </c>
      <c r="G8" s="78"/>
      <c r="H8" s="131" t="s">
        <v>11</v>
      </c>
      <c r="I8" s="92"/>
      <c r="J8" s="78"/>
      <c r="K8" s="132"/>
      <c r="L8" s="92"/>
      <c r="M8" s="78"/>
      <c r="N8" s="13"/>
      <c r="O8" s="133"/>
      <c r="P8" s="78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5.75" customHeight="1" x14ac:dyDescent="0.2">
      <c r="A9" s="12"/>
      <c r="B9" s="129"/>
      <c r="C9" s="92"/>
      <c r="D9" s="92"/>
      <c r="E9" s="78"/>
      <c r="F9" s="130"/>
      <c r="G9" s="78"/>
      <c r="H9" s="131"/>
      <c r="I9" s="92"/>
      <c r="J9" s="78"/>
      <c r="K9" s="132"/>
      <c r="L9" s="92"/>
      <c r="M9" s="78"/>
      <c r="N9" s="13"/>
      <c r="O9" s="133"/>
      <c r="P9" s="78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15.75" customHeight="1" x14ac:dyDescent="0.2">
      <c r="A10" s="12"/>
      <c r="B10" s="129"/>
      <c r="C10" s="92"/>
      <c r="D10" s="92"/>
      <c r="E10" s="78"/>
      <c r="F10" s="130"/>
      <c r="G10" s="78"/>
      <c r="H10" s="131"/>
      <c r="I10" s="92"/>
      <c r="J10" s="78"/>
      <c r="K10" s="134"/>
      <c r="L10" s="92"/>
      <c r="M10" s="78"/>
      <c r="N10" s="13"/>
      <c r="O10" s="131"/>
      <c r="P10" s="78"/>
      <c r="Q10" s="4" t="s">
        <v>14</v>
      </c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5.75" customHeight="1" x14ac:dyDescent="0.2">
      <c r="A11" s="12"/>
      <c r="B11" s="129"/>
      <c r="C11" s="92"/>
      <c r="D11" s="92"/>
      <c r="E11" s="78"/>
      <c r="F11" s="130"/>
      <c r="G11" s="78"/>
      <c r="H11" s="131"/>
      <c r="I11" s="92"/>
      <c r="J11" s="78"/>
      <c r="K11" s="132"/>
      <c r="L11" s="92"/>
      <c r="M11" s="78"/>
      <c r="N11" s="13"/>
      <c r="O11" s="133"/>
      <c r="P11" s="78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</sheetData>
  <mergeCells count="49">
    <mergeCell ref="B3:E3"/>
    <mergeCell ref="F3:G3"/>
    <mergeCell ref="H3:J3"/>
    <mergeCell ref="K3:M3"/>
    <mergeCell ref="O3:P3"/>
    <mergeCell ref="B2:E2"/>
    <mergeCell ref="F2:G2"/>
    <mergeCell ref="H2:J2"/>
    <mergeCell ref="K2:M2"/>
    <mergeCell ref="O2:P2"/>
    <mergeCell ref="B4:E4"/>
    <mergeCell ref="F4:G4"/>
    <mergeCell ref="H4:J4"/>
    <mergeCell ref="K4:M4"/>
    <mergeCell ref="B5:E5"/>
    <mergeCell ref="F5:G5"/>
    <mergeCell ref="H5:J5"/>
    <mergeCell ref="K5:M5"/>
    <mergeCell ref="O5:P5"/>
    <mergeCell ref="B6:E6"/>
    <mergeCell ref="F6:G6"/>
    <mergeCell ref="H6:J6"/>
    <mergeCell ref="K6:M6"/>
    <mergeCell ref="O6:P6"/>
    <mergeCell ref="B8:E8"/>
    <mergeCell ref="F8:G8"/>
    <mergeCell ref="H8:J8"/>
    <mergeCell ref="K8:M8"/>
    <mergeCell ref="O8:P8"/>
    <mergeCell ref="B7:E7"/>
    <mergeCell ref="F7:G7"/>
    <mergeCell ref="H7:J7"/>
    <mergeCell ref="K7:M7"/>
    <mergeCell ref="O7:P7"/>
    <mergeCell ref="B10:E10"/>
    <mergeCell ref="F10:G10"/>
    <mergeCell ref="H10:J10"/>
    <mergeCell ref="K10:M10"/>
    <mergeCell ref="O10:P10"/>
    <mergeCell ref="B9:E9"/>
    <mergeCell ref="F9:G9"/>
    <mergeCell ref="H9:J9"/>
    <mergeCell ref="K9:M9"/>
    <mergeCell ref="O9:P9"/>
    <mergeCell ref="B11:E11"/>
    <mergeCell ref="F11:G11"/>
    <mergeCell ref="H11:J11"/>
    <mergeCell ref="K11:M11"/>
    <mergeCell ref="O11:P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00"/>
  <sheetViews>
    <sheetView workbookViewId="0"/>
  </sheetViews>
  <sheetFormatPr defaultColWidth="14.42578125" defaultRowHeight="15" customHeight="1" x14ac:dyDescent="0.2"/>
  <cols>
    <col min="1" max="256" width="8" customWidth="1"/>
  </cols>
  <sheetData>
    <row r="1" spans="1:256" ht="12.75" customHeight="1" x14ac:dyDescent="0.2">
      <c r="A1" t="e">
        <f>IF('Strategic Summary'!$A4:$IV4,"AAAAAG69uAA=",0)</f>
        <v>#VALUE!</v>
      </c>
      <c r="B1" t="e">
        <f>AND('Strategic Summary'!A4,"AAAAAG69uAE=")</f>
        <v>#VALUE!</v>
      </c>
      <c r="C1" t="e">
        <f>AND('Strategic Summary'!B4,"AAAAAG69uAI=")</f>
        <v>#VALUE!</v>
      </c>
      <c r="D1" t="e">
        <f>AND('Strategic Summary'!C4,"AAAAAG69uAM=")</f>
        <v>#VALUE!</v>
      </c>
      <c r="E1" t="e">
        <f>AND('Strategic Summary'!D4,"AAAAAG69uAQ=")</f>
        <v>#VALUE!</v>
      </c>
      <c r="F1" t="e">
        <f>AND('Strategic Summary'!E4,"AAAAAG69uAU=")</f>
        <v>#VALUE!</v>
      </c>
      <c r="G1" t="e">
        <f>AND('Strategic Summary'!F4,"AAAAAG69uAY=")</f>
        <v>#VALUE!</v>
      </c>
      <c r="H1" t="e">
        <f>AND('Strategic Summary'!G4,"AAAAAG69uAc=")</f>
        <v>#VALUE!</v>
      </c>
      <c r="I1" t="e">
        <f>AND('Strategic Summary'!H4,"AAAAAG69uAg=")</f>
        <v>#VALUE!</v>
      </c>
      <c r="J1" t="e">
        <f>AND('Strategic Summary'!I4,"AAAAAG69uAk=")</f>
        <v>#VALUE!</v>
      </c>
      <c r="K1" t="e">
        <f>AND('Strategic Summary'!J4,"AAAAAG69uAo=")</f>
        <v>#VALUE!</v>
      </c>
      <c r="L1" t="e">
        <f>AND('Strategic Summary'!K4,"AAAAAG69uAs=")</f>
        <v>#VALUE!</v>
      </c>
      <c r="M1" t="e">
        <f>AND('Strategic Summary'!L4,"AAAAAG69uAw=")</f>
        <v>#VALUE!</v>
      </c>
      <c r="N1" t="e">
        <f>AND('Strategic Summary'!M4,"AAAAAG69uA0=")</f>
        <v>#VALUE!</v>
      </c>
      <c r="O1" t="e">
        <f>AND('Strategic Summary'!N4,"AAAAAG69uA4=")</f>
        <v>#VALUE!</v>
      </c>
      <c r="P1" t="e">
        <f>AND('Strategic Summary'!O4,"AAAAAG69uA8=")</f>
        <v>#VALUE!</v>
      </c>
      <c r="Q1" t="e">
        <f>AND('Strategic Summary'!P4,"AAAAAG69uBA=")</f>
        <v>#VALUE!</v>
      </c>
      <c r="R1" t="e">
        <f>AND('Strategic Summary'!Q4,"AAAAAG69uBE=")</f>
        <v>#VALUE!</v>
      </c>
      <c r="S1" t="e">
        <f>AND('Strategic Summary'!R4,"AAAAAG69uBI=")</f>
        <v>#VALUE!</v>
      </c>
      <c r="T1">
        <f>IF('Strategic Summary'!$A5:$IV5,"AAAAAG69uBM=",0)</f>
        <v>0</v>
      </c>
      <c r="U1" t="e">
        <f>AND('Strategic Summary'!A5,"AAAAAG69uBQ=")</f>
        <v>#VALUE!</v>
      </c>
      <c r="V1" t="e">
        <f>AND('Strategic Summary'!B5,"AAAAAG69uBU=")</f>
        <v>#VALUE!</v>
      </c>
      <c r="W1" t="e">
        <f>AND('Strategic Summary'!C5,"AAAAAG69uBY=")</f>
        <v>#VALUE!</v>
      </c>
      <c r="X1" t="e">
        <f>AND('Strategic Summary'!D5,"AAAAAG69uBc=")</f>
        <v>#VALUE!</v>
      </c>
      <c r="Y1" t="e">
        <f>AND('Strategic Summary'!E5,"AAAAAG69uBg=")</f>
        <v>#VALUE!</v>
      </c>
      <c r="Z1" t="e">
        <f>AND('Strategic Summary'!F5,"AAAAAG69uBk=")</f>
        <v>#VALUE!</v>
      </c>
      <c r="AA1" t="e">
        <f>AND('Strategic Summary'!G5,"AAAAAG69uBo=")</f>
        <v>#VALUE!</v>
      </c>
      <c r="AB1" t="e">
        <f>AND('Strategic Summary'!H5,"AAAAAG69uBs=")</f>
        <v>#VALUE!</v>
      </c>
      <c r="AC1" t="e">
        <f>AND('Strategic Summary'!I5,"AAAAAG69uBw=")</f>
        <v>#VALUE!</v>
      </c>
      <c r="AD1" t="e">
        <f>AND('Strategic Summary'!J5,"AAAAAG69uB0=")</f>
        <v>#VALUE!</v>
      </c>
      <c r="AE1" t="e">
        <f>AND('Strategic Summary'!K5,"AAAAAG69uB4=")</f>
        <v>#VALUE!</v>
      </c>
      <c r="AF1" t="e">
        <f>AND('Strategic Summary'!L5,"AAAAAG69uB8=")</f>
        <v>#VALUE!</v>
      </c>
      <c r="AG1" t="e">
        <f>AND('Strategic Summary'!M5,"AAAAAG69uCA=")</f>
        <v>#VALUE!</v>
      </c>
      <c r="AH1" t="e">
        <f>AND('Strategic Summary'!N5,"AAAAAG69uCE=")</f>
        <v>#VALUE!</v>
      </c>
      <c r="AI1" t="e">
        <f>AND('Strategic Summary'!O5,"AAAAAG69uCI=")</f>
        <v>#VALUE!</v>
      </c>
      <c r="AJ1" t="e">
        <f>AND('Strategic Summary'!P5,"AAAAAG69uCM=")</f>
        <v>#VALUE!</v>
      </c>
      <c r="AK1" t="e">
        <f>AND('Strategic Summary'!Q5,"AAAAAG69uCQ=")</f>
        <v>#VALUE!</v>
      </c>
      <c r="AL1" t="e">
        <f>AND('Strategic Summary'!R5,"AAAAAG69uCU=")</f>
        <v>#VALUE!</v>
      </c>
      <c r="AM1">
        <f>IF('Strategic Summary'!$A13:$IV13,"AAAAAG69uCY=",0)</f>
        <v>0</v>
      </c>
      <c r="AN1" t="e">
        <f>AND('Strategic Summary'!A13,"AAAAAG69uCc=")</f>
        <v>#VALUE!</v>
      </c>
      <c r="AO1" t="e">
        <f>AND('Strategic Summary'!B13,"AAAAAG69uCg=")</f>
        <v>#VALUE!</v>
      </c>
      <c r="AP1" t="e">
        <f>AND('Strategic Summary'!C13,"AAAAAG69uCk=")</f>
        <v>#VALUE!</v>
      </c>
      <c r="AQ1" t="e">
        <f>AND('Strategic Summary'!D13,"AAAAAG69uCo=")</f>
        <v>#VALUE!</v>
      </c>
      <c r="AR1" t="e">
        <f>AND('Strategic Summary'!E13,"AAAAAG69uCs=")</f>
        <v>#VALUE!</v>
      </c>
      <c r="AS1" t="e">
        <f>AND('Strategic Summary'!F13,"AAAAAG69uCw=")</f>
        <v>#VALUE!</v>
      </c>
      <c r="AT1" t="e">
        <f>AND('Strategic Summary'!G13,"AAAAAG69uC0=")</f>
        <v>#VALUE!</v>
      </c>
      <c r="AU1" t="e">
        <f>AND('Strategic Summary'!H13,"AAAAAG69uC4=")</f>
        <v>#VALUE!</v>
      </c>
      <c r="AV1" t="e">
        <f>AND('Strategic Summary'!I13,"AAAAAG69uC8=")</f>
        <v>#VALUE!</v>
      </c>
      <c r="AW1" t="e">
        <f>AND('Strategic Summary'!J13,"AAAAAG69uDA=")</f>
        <v>#VALUE!</v>
      </c>
      <c r="AX1" t="e">
        <f>AND('Strategic Summary'!K13,"AAAAAG69uDE=")</f>
        <v>#VALUE!</v>
      </c>
      <c r="AY1" t="e">
        <f>AND('Strategic Summary'!L13,"AAAAAG69uDI=")</f>
        <v>#VALUE!</v>
      </c>
      <c r="AZ1" t="e">
        <f>AND('Strategic Summary'!M13,"AAAAAG69uDM=")</f>
        <v>#VALUE!</v>
      </c>
      <c r="BA1" t="e">
        <f>AND('Strategic Summary'!N13,"AAAAAG69uDQ=")</f>
        <v>#VALUE!</v>
      </c>
      <c r="BB1" t="e">
        <f>AND('Strategic Summary'!O13,"AAAAAG69uDU=")</f>
        <v>#VALUE!</v>
      </c>
      <c r="BC1" t="e">
        <f>AND('Strategic Summary'!P13,"AAAAAG69uDY=")</f>
        <v>#VALUE!</v>
      </c>
      <c r="BD1" t="e">
        <f>AND('Strategic Summary'!Q13,"AAAAAG69uDc=")</f>
        <v>#VALUE!</v>
      </c>
      <c r="BE1" t="e">
        <f>AND('Strategic Summary'!R13,"AAAAAG69uDg=")</f>
        <v>#VALUE!</v>
      </c>
      <c r="BF1">
        <f>IF('Strategic Summary'!$A14:$IV14,"AAAAAG69uDk=",0)</f>
        <v>0</v>
      </c>
      <c r="BG1" t="e">
        <f>AND('Strategic Summary'!A14,"AAAAAG69uDo=")</f>
        <v>#VALUE!</v>
      </c>
      <c r="BH1" t="e">
        <f>AND('Strategic Summary'!B14,"AAAAAG69uDs=")</f>
        <v>#VALUE!</v>
      </c>
      <c r="BI1" t="e">
        <f>AND('Strategic Summary'!C14,"AAAAAG69uDw=")</f>
        <v>#VALUE!</v>
      </c>
      <c r="BJ1" t="e">
        <f>AND('Strategic Summary'!D14,"AAAAAG69uD0=")</f>
        <v>#VALUE!</v>
      </c>
      <c r="BK1" t="e">
        <f>AND('Strategic Summary'!E14,"AAAAAG69uD4=")</f>
        <v>#VALUE!</v>
      </c>
      <c r="BL1" t="e">
        <f>AND('Strategic Summary'!F14,"AAAAAG69uD8=")</f>
        <v>#VALUE!</v>
      </c>
      <c r="BM1" t="e">
        <f>AND('Strategic Summary'!G14,"AAAAAG69uEA=")</f>
        <v>#VALUE!</v>
      </c>
      <c r="BN1" t="e">
        <f>AND('Strategic Summary'!H14,"AAAAAG69uEE=")</f>
        <v>#VALUE!</v>
      </c>
      <c r="BO1" t="e">
        <f>AND('Strategic Summary'!I14,"AAAAAG69uEI=")</f>
        <v>#VALUE!</v>
      </c>
      <c r="BP1" t="e">
        <f>AND('Strategic Summary'!J14,"AAAAAG69uEM=")</f>
        <v>#VALUE!</v>
      </c>
      <c r="BQ1" t="e">
        <f>AND('Strategic Summary'!K14,"AAAAAG69uEQ=")</f>
        <v>#VALUE!</v>
      </c>
      <c r="BR1" t="e">
        <f>AND('Strategic Summary'!L14,"AAAAAG69uEU=")</f>
        <v>#VALUE!</v>
      </c>
      <c r="BS1" t="e">
        <f>AND('Strategic Summary'!M14,"AAAAAG69uEY=")</f>
        <v>#VALUE!</v>
      </c>
      <c r="BT1" t="e">
        <f>AND('Strategic Summary'!N14,"AAAAAG69uEc=")</f>
        <v>#VALUE!</v>
      </c>
      <c r="BU1" t="e">
        <f>AND('Strategic Summary'!O14,"AAAAAG69uEg=")</f>
        <v>#VALUE!</v>
      </c>
      <c r="BV1" t="e">
        <f>AND('Strategic Summary'!P14,"AAAAAG69uEk=")</f>
        <v>#VALUE!</v>
      </c>
      <c r="BW1" t="e">
        <f>AND('Strategic Summary'!Q14,"AAAAAG69uEo=")</f>
        <v>#VALUE!</v>
      </c>
      <c r="BX1" t="e">
        <f>AND('Strategic Summary'!R14,"AAAAAG69uEs=")</f>
        <v>#VALUE!</v>
      </c>
      <c r="BY1">
        <f>IF('Strategic Summary'!$A15:$IV15,"AAAAAG69uEw=",0)</f>
        <v>0</v>
      </c>
      <c r="BZ1" t="e">
        <f>AND('Strategic Summary'!A15,"AAAAAG69uE0=")</f>
        <v>#VALUE!</v>
      </c>
      <c r="CA1" t="e">
        <f>AND('Strategic Summary'!B15,"AAAAAG69uE4=")</f>
        <v>#VALUE!</v>
      </c>
      <c r="CB1" t="e">
        <f>AND('Strategic Summary'!C15,"AAAAAG69uE8=")</f>
        <v>#VALUE!</v>
      </c>
      <c r="CC1" t="e">
        <f>AND('Strategic Summary'!D15,"AAAAAG69uFA=")</f>
        <v>#VALUE!</v>
      </c>
      <c r="CD1" t="e">
        <f>AND('Strategic Summary'!E15,"AAAAAG69uFE=")</f>
        <v>#VALUE!</v>
      </c>
      <c r="CE1" t="e">
        <f>AND('Strategic Summary'!F15,"AAAAAG69uFI=")</f>
        <v>#VALUE!</v>
      </c>
      <c r="CF1" t="e">
        <f>AND('Strategic Summary'!G15,"AAAAAG69uFM=")</f>
        <v>#VALUE!</v>
      </c>
      <c r="CG1" t="e">
        <f>AND('Strategic Summary'!H15,"AAAAAG69uFQ=")</f>
        <v>#VALUE!</v>
      </c>
      <c r="CH1" t="e">
        <f>AND('Strategic Summary'!I15,"AAAAAG69uFU=")</f>
        <v>#VALUE!</v>
      </c>
      <c r="CI1" t="e">
        <f>AND('Strategic Summary'!J15,"AAAAAG69uFY=")</f>
        <v>#VALUE!</v>
      </c>
      <c r="CJ1" t="e">
        <f>AND('Strategic Summary'!K15,"AAAAAG69uFc=")</f>
        <v>#VALUE!</v>
      </c>
      <c r="CK1" t="e">
        <f>AND('Strategic Summary'!L15,"AAAAAG69uFg=")</f>
        <v>#VALUE!</v>
      </c>
      <c r="CL1" t="e">
        <f>AND('Strategic Summary'!M15,"AAAAAG69uFk=")</f>
        <v>#VALUE!</v>
      </c>
      <c r="CM1" t="e">
        <f>AND('Strategic Summary'!N15,"AAAAAG69uFo=")</f>
        <v>#VALUE!</v>
      </c>
      <c r="CN1" t="e">
        <f>AND('Strategic Summary'!O15,"AAAAAG69uFs=")</f>
        <v>#VALUE!</v>
      </c>
      <c r="CO1" t="e">
        <f>AND('Strategic Summary'!P15,"AAAAAG69uFw=")</f>
        <v>#VALUE!</v>
      </c>
      <c r="CP1" t="e">
        <f>AND('Strategic Summary'!Q15,"AAAAAG69uF0=")</f>
        <v>#VALUE!</v>
      </c>
      <c r="CQ1" t="e">
        <f>AND('Strategic Summary'!R15,"AAAAAG69uF4=")</f>
        <v>#VALUE!</v>
      </c>
      <c r="CR1">
        <f>IF('Strategic Summary'!$A16:$IV16,"AAAAAG69uF8=",0)</f>
        <v>0</v>
      </c>
      <c r="CS1" t="e">
        <f>AND('Strategic Summary'!A16,"AAAAAG69uGA=")</f>
        <v>#VALUE!</v>
      </c>
      <c r="CT1" t="e">
        <f>AND('Strategic Summary'!B16,"AAAAAG69uGE=")</f>
        <v>#VALUE!</v>
      </c>
      <c r="CU1" t="e">
        <f>AND('Strategic Summary'!C16,"AAAAAG69uGI=")</f>
        <v>#VALUE!</v>
      </c>
      <c r="CV1" t="e">
        <f>AND('Strategic Summary'!D16,"AAAAAG69uGM=")</f>
        <v>#VALUE!</v>
      </c>
      <c r="CW1" t="e">
        <f>AND('Strategic Summary'!E16,"AAAAAG69uGQ=")</f>
        <v>#VALUE!</v>
      </c>
      <c r="CX1" t="e">
        <f>AND('Strategic Summary'!F16,"AAAAAG69uGU=")</f>
        <v>#VALUE!</v>
      </c>
      <c r="CY1" t="e">
        <f>AND('Strategic Summary'!G16,"AAAAAG69uGY=")</f>
        <v>#VALUE!</v>
      </c>
      <c r="CZ1" t="e">
        <f>AND('Strategic Summary'!H16,"AAAAAG69uGc=")</f>
        <v>#VALUE!</v>
      </c>
      <c r="DA1" t="e">
        <f>AND('Strategic Summary'!I16,"AAAAAG69uGg=")</f>
        <v>#VALUE!</v>
      </c>
      <c r="DB1" t="e">
        <f>AND('Strategic Summary'!J16,"AAAAAG69uGk=")</f>
        <v>#VALUE!</v>
      </c>
      <c r="DC1" t="e">
        <f>AND('Strategic Summary'!K16,"AAAAAG69uGo=")</f>
        <v>#VALUE!</v>
      </c>
      <c r="DD1" t="e">
        <f>AND('Strategic Summary'!L16,"AAAAAG69uGs=")</f>
        <v>#VALUE!</v>
      </c>
      <c r="DE1" t="e">
        <f>AND('Strategic Summary'!M16,"AAAAAG69uGw=")</f>
        <v>#VALUE!</v>
      </c>
      <c r="DF1" t="e">
        <f>AND('Strategic Summary'!N16,"AAAAAG69uG0=")</f>
        <v>#VALUE!</v>
      </c>
      <c r="DG1" t="e">
        <f>AND('Strategic Summary'!O16,"AAAAAG69uG4=")</f>
        <v>#VALUE!</v>
      </c>
      <c r="DH1" t="e">
        <f>AND('Strategic Summary'!P16,"AAAAAG69uG8=")</f>
        <v>#VALUE!</v>
      </c>
      <c r="DI1" t="e">
        <f>AND('Strategic Summary'!Q16,"AAAAAG69uHA=")</f>
        <v>#VALUE!</v>
      </c>
      <c r="DJ1" t="e">
        <f>AND('Strategic Summary'!R16,"AAAAAG69uHE=")</f>
        <v>#VALUE!</v>
      </c>
      <c r="DK1">
        <f>IF('Strategic Summary'!$A17:$IV17,"AAAAAG69uHI=",0)</f>
        <v>0</v>
      </c>
      <c r="DL1" t="e">
        <f>AND('Strategic Summary'!A17,"AAAAAG69uHM=")</f>
        <v>#VALUE!</v>
      </c>
      <c r="DM1" t="e">
        <f>AND('Strategic Summary'!B17,"AAAAAG69uHQ=")</f>
        <v>#VALUE!</v>
      </c>
      <c r="DN1" t="e">
        <f>AND('Strategic Summary'!C17,"AAAAAG69uHU=")</f>
        <v>#VALUE!</v>
      </c>
      <c r="DO1" t="e">
        <f>AND('Strategic Summary'!D17,"AAAAAG69uHY=")</f>
        <v>#VALUE!</v>
      </c>
      <c r="DP1" t="e">
        <f>AND('Strategic Summary'!E17,"AAAAAG69uHc=")</f>
        <v>#VALUE!</v>
      </c>
      <c r="DQ1" t="e">
        <f>AND('Strategic Summary'!F17,"AAAAAG69uHg=")</f>
        <v>#VALUE!</v>
      </c>
      <c r="DR1" t="e">
        <f>AND('Strategic Summary'!G17,"AAAAAG69uHk=")</f>
        <v>#VALUE!</v>
      </c>
      <c r="DS1" t="e">
        <f>AND('Strategic Summary'!H17,"AAAAAG69uHo=")</f>
        <v>#VALUE!</v>
      </c>
      <c r="DT1" t="e">
        <f>AND('Strategic Summary'!I17,"AAAAAG69uHs=")</f>
        <v>#VALUE!</v>
      </c>
      <c r="DU1" t="e">
        <f>AND('Strategic Summary'!J17,"AAAAAG69uHw=")</f>
        <v>#VALUE!</v>
      </c>
      <c r="DV1" t="e">
        <f>AND('Strategic Summary'!K17,"AAAAAG69uH0=")</f>
        <v>#VALUE!</v>
      </c>
      <c r="DW1" t="e">
        <f>AND('Strategic Summary'!L17,"AAAAAG69uH4=")</f>
        <v>#VALUE!</v>
      </c>
      <c r="DX1" t="e">
        <f>AND('Strategic Summary'!M17,"AAAAAG69uH8=")</f>
        <v>#VALUE!</v>
      </c>
      <c r="DY1" t="e">
        <f>AND('Strategic Summary'!N17,"AAAAAG69uIA=")</f>
        <v>#VALUE!</v>
      </c>
      <c r="DZ1" t="e">
        <f>AND('Strategic Summary'!O17,"AAAAAG69uIE=")</f>
        <v>#VALUE!</v>
      </c>
      <c r="EA1" t="e">
        <f>AND('Strategic Summary'!P17,"AAAAAG69uII=")</f>
        <v>#VALUE!</v>
      </c>
      <c r="EB1" t="e">
        <f>AND('Strategic Summary'!Q17,"AAAAAG69uIM=")</f>
        <v>#VALUE!</v>
      </c>
      <c r="EC1" t="e">
        <f>AND('Strategic Summary'!R17,"AAAAAG69uIQ=")</f>
        <v>#VALUE!</v>
      </c>
      <c r="ED1">
        <f>IF('Strategic Summary'!$A18:$IV18,"AAAAAG69uIU=",0)</f>
        <v>0</v>
      </c>
      <c r="EE1" t="e">
        <f>AND('Strategic Summary'!A18,"AAAAAG69uIY=")</f>
        <v>#VALUE!</v>
      </c>
      <c r="EF1" t="e">
        <f>AND('Strategic Summary'!B18,"AAAAAG69uIc=")</f>
        <v>#VALUE!</v>
      </c>
      <c r="EG1" t="e">
        <f>AND('Strategic Summary'!C18,"AAAAAG69uIg=")</f>
        <v>#VALUE!</v>
      </c>
      <c r="EH1" t="e">
        <f>AND('Strategic Summary'!D18,"AAAAAG69uIk=")</f>
        <v>#VALUE!</v>
      </c>
      <c r="EI1" t="e">
        <f>AND('Strategic Summary'!E18,"AAAAAG69uIo=")</f>
        <v>#VALUE!</v>
      </c>
      <c r="EJ1" t="e">
        <f>AND('Strategic Summary'!F18,"AAAAAG69uIs=")</f>
        <v>#VALUE!</v>
      </c>
      <c r="EK1" t="e">
        <f>AND('Strategic Summary'!G18,"AAAAAG69uIw=")</f>
        <v>#VALUE!</v>
      </c>
      <c r="EL1" t="e">
        <f>AND('Strategic Summary'!H18,"AAAAAG69uI0=")</f>
        <v>#VALUE!</v>
      </c>
      <c r="EM1" t="e">
        <f>AND('Strategic Summary'!I18,"AAAAAG69uI4=")</f>
        <v>#VALUE!</v>
      </c>
      <c r="EN1" t="e">
        <f>AND('Strategic Summary'!J18,"AAAAAG69uI8=")</f>
        <v>#VALUE!</v>
      </c>
      <c r="EO1" t="e">
        <f>AND('Strategic Summary'!K18,"AAAAAG69uJA=")</f>
        <v>#VALUE!</v>
      </c>
      <c r="EP1" t="e">
        <f>AND('Strategic Summary'!L18,"AAAAAG69uJE=")</f>
        <v>#VALUE!</v>
      </c>
      <c r="EQ1" t="e">
        <f>AND('Strategic Summary'!M18,"AAAAAG69uJI=")</f>
        <v>#VALUE!</v>
      </c>
      <c r="ER1" t="e">
        <f>AND('Strategic Summary'!N18,"AAAAAG69uJM=")</f>
        <v>#VALUE!</v>
      </c>
      <c r="ES1" t="e">
        <f>AND('Strategic Summary'!O18,"AAAAAG69uJQ=")</f>
        <v>#VALUE!</v>
      </c>
      <c r="ET1" t="e">
        <f>AND('Strategic Summary'!P18,"AAAAAG69uJU=")</f>
        <v>#VALUE!</v>
      </c>
      <c r="EU1" t="e">
        <f>AND('Strategic Summary'!Q18,"AAAAAG69uJY=")</f>
        <v>#VALUE!</v>
      </c>
      <c r="EV1" t="e">
        <f>AND('Strategic Summary'!R18,"AAAAAG69uJc=")</f>
        <v>#VALUE!</v>
      </c>
      <c r="EW1" t="e">
        <f>IF('Strategic Summary'!#REF!,"AAAAAG69uJg=",0)</f>
        <v>#REF!</v>
      </c>
      <c r="EX1" t="e">
        <f>AND('Strategic Summary'!#REF!,"AAAAAG69uJk=")</f>
        <v>#REF!</v>
      </c>
      <c r="EY1" t="e">
        <f>AND('Strategic Summary'!#REF!,"AAAAAG69uJo=")</f>
        <v>#REF!</v>
      </c>
      <c r="EZ1" t="e">
        <f>AND('Strategic Summary'!#REF!,"AAAAAG69uJs=")</f>
        <v>#REF!</v>
      </c>
      <c r="FA1" t="e">
        <f>AND('Strategic Summary'!#REF!,"AAAAAG69uJw=")</f>
        <v>#REF!</v>
      </c>
      <c r="FB1" t="e">
        <f>AND('Strategic Summary'!#REF!,"AAAAAG69uJ0=")</f>
        <v>#REF!</v>
      </c>
      <c r="FC1" t="e">
        <f>AND('Strategic Summary'!#REF!,"AAAAAG69uJ4=")</f>
        <v>#REF!</v>
      </c>
      <c r="FD1" t="e">
        <f>AND('Strategic Summary'!#REF!,"AAAAAG69uJ8=")</f>
        <v>#REF!</v>
      </c>
      <c r="FE1" t="e">
        <f>AND('Strategic Summary'!#REF!,"AAAAAG69uKA=")</f>
        <v>#REF!</v>
      </c>
      <c r="FF1" t="e">
        <f>AND('Strategic Summary'!#REF!,"AAAAAG69uKE=")</f>
        <v>#REF!</v>
      </c>
      <c r="FG1" t="e">
        <f>AND('Strategic Summary'!#REF!,"AAAAAG69uKI=")</f>
        <v>#REF!</v>
      </c>
      <c r="FH1" t="e">
        <f>AND('Strategic Summary'!#REF!,"AAAAAG69uKM=")</f>
        <v>#REF!</v>
      </c>
      <c r="FI1" t="e">
        <f>AND('Strategic Summary'!#REF!,"AAAAAG69uKQ=")</f>
        <v>#REF!</v>
      </c>
      <c r="FJ1" t="e">
        <f>AND('Strategic Summary'!#REF!,"AAAAAG69uKU=")</f>
        <v>#REF!</v>
      </c>
      <c r="FK1" t="e">
        <f>AND('Strategic Summary'!#REF!,"AAAAAG69uKY=")</f>
        <v>#REF!</v>
      </c>
      <c r="FL1" t="e">
        <f>AND('Strategic Summary'!#REF!,"AAAAAG69uKc=")</f>
        <v>#REF!</v>
      </c>
      <c r="FM1" t="e">
        <f>AND('Strategic Summary'!#REF!,"AAAAAG69uKg=")</f>
        <v>#REF!</v>
      </c>
      <c r="FN1" t="e">
        <f>AND('Strategic Summary'!#REF!,"AAAAAG69uKk=")</f>
        <v>#REF!</v>
      </c>
      <c r="FO1" t="e">
        <f>AND('Strategic Summary'!#REF!,"AAAAAG69uKo=")</f>
        <v>#REF!</v>
      </c>
      <c r="FP1">
        <f>IF('Strategic Summary'!$A19:$IV19,"AAAAAG69uKs=",0)</f>
        <v>0</v>
      </c>
      <c r="FQ1" t="e">
        <f>AND('Strategic Summary'!A19,"AAAAAG69uKw=")</f>
        <v>#VALUE!</v>
      </c>
      <c r="FR1" t="e">
        <f>AND('Strategic Summary'!B19,"AAAAAG69uK0=")</f>
        <v>#VALUE!</v>
      </c>
      <c r="FS1" t="e">
        <f>AND('Strategic Summary'!C19,"AAAAAG69uK4=")</f>
        <v>#VALUE!</v>
      </c>
      <c r="FT1" t="e">
        <f>AND('Strategic Summary'!D19,"AAAAAG69uK8=")</f>
        <v>#VALUE!</v>
      </c>
      <c r="FU1" t="e">
        <f>AND('Strategic Summary'!E19,"AAAAAG69uLA=")</f>
        <v>#VALUE!</v>
      </c>
      <c r="FV1" t="e">
        <f>AND('Strategic Summary'!F19,"AAAAAG69uLE=")</f>
        <v>#VALUE!</v>
      </c>
      <c r="FW1" t="e">
        <f>AND('Strategic Summary'!G19,"AAAAAG69uLI=")</f>
        <v>#VALUE!</v>
      </c>
      <c r="FX1" t="e">
        <f>AND('Strategic Summary'!H19,"AAAAAG69uLM=")</f>
        <v>#VALUE!</v>
      </c>
      <c r="FY1" t="e">
        <f>AND('Strategic Summary'!I19,"AAAAAG69uLQ=")</f>
        <v>#VALUE!</v>
      </c>
      <c r="FZ1" t="e">
        <f>AND('Strategic Summary'!J19,"AAAAAG69uLU=")</f>
        <v>#VALUE!</v>
      </c>
      <c r="GA1" t="e">
        <f>AND('Strategic Summary'!K19,"AAAAAG69uLY=")</f>
        <v>#VALUE!</v>
      </c>
      <c r="GB1" t="e">
        <f>AND('Strategic Summary'!L19,"AAAAAG69uLc=")</f>
        <v>#VALUE!</v>
      </c>
      <c r="GC1" t="e">
        <f>AND('Strategic Summary'!M19,"AAAAAG69uLg=")</f>
        <v>#VALUE!</v>
      </c>
      <c r="GD1" t="e">
        <f>AND('Strategic Summary'!N19,"AAAAAG69uLk=")</f>
        <v>#VALUE!</v>
      </c>
      <c r="GE1" t="e">
        <f>AND('Strategic Summary'!O19,"AAAAAG69uLo=")</f>
        <v>#VALUE!</v>
      </c>
      <c r="GF1" t="e">
        <f>AND('Strategic Summary'!P19,"AAAAAG69uLs=")</f>
        <v>#VALUE!</v>
      </c>
      <c r="GG1" t="e">
        <f>AND('Strategic Summary'!Q19,"AAAAAG69uLw=")</f>
        <v>#VALUE!</v>
      </c>
      <c r="GH1" t="e">
        <f>AND('Strategic Summary'!R19,"AAAAAG69uL0=")</f>
        <v>#VALUE!</v>
      </c>
      <c r="GI1">
        <f>IF('Strategic Summary'!$A20:$IV20,"AAAAAG69uL4=",0)</f>
        <v>0</v>
      </c>
      <c r="GJ1" t="e">
        <f>AND('Strategic Summary'!A20,"AAAAAG69uL8=")</f>
        <v>#VALUE!</v>
      </c>
      <c r="GK1" t="e">
        <f>AND('Strategic Summary'!B20,"AAAAAG69uMA=")</f>
        <v>#VALUE!</v>
      </c>
      <c r="GL1" t="e">
        <f>AND('Strategic Summary'!C20,"AAAAAG69uME=")</f>
        <v>#VALUE!</v>
      </c>
      <c r="GM1" t="e">
        <f>AND('Strategic Summary'!D20,"AAAAAG69uMI=")</f>
        <v>#VALUE!</v>
      </c>
      <c r="GN1" t="e">
        <f>AND('Strategic Summary'!E20,"AAAAAG69uMM=")</f>
        <v>#VALUE!</v>
      </c>
      <c r="GO1" t="e">
        <f>AND('Strategic Summary'!F20,"AAAAAG69uMQ=")</f>
        <v>#VALUE!</v>
      </c>
      <c r="GP1" t="e">
        <f>AND('Strategic Summary'!G20,"AAAAAG69uMU=")</f>
        <v>#VALUE!</v>
      </c>
      <c r="GQ1" t="e">
        <f>AND('Strategic Summary'!H20,"AAAAAG69uMY=")</f>
        <v>#VALUE!</v>
      </c>
      <c r="GR1" t="e">
        <f>AND('Strategic Summary'!I20,"AAAAAG69uMc=")</f>
        <v>#VALUE!</v>
      </c>
      <c r="GS1" t="e">
        <f>AND('Strategic Summary'!J20,"AAAAAG69uMg=")</f>
        <v>#VALUE!</v>
      </c>
      <c r="GT1" t="e">
        <f>AND('Strategic Summary'!K20,"AAAAAG69uMk=")</f>
        <v>#VALUE!</v>
      </c>
      <c r="GU1" t="e">
        <f>AND('Strategic Summary'!L20,"AAAAAG69uMo=")</f>
        <v>#VALUE!</v>
      </c>
      <c r="GV1" t="e">
        <f>AND('Strategic Summary'!M20,"AAAAAG69uMs=")</f>
        <v>#VALUE!</v>
      </c>
      <c r="GW1" t="e">
        <f>AND('Strategic Summary'!N20,"AAAAAG69uMw=")</f>
        <v>#VALUE!</v>
      </c>
      <c r="GX1" t="e">
        <f>AND('Strategic Summary'!O20,"AAAAAG69uM0=")</f>
        <v>#VALUE!</v>
      </c>
      <c r="GY1" t="e">
        <f>AND('Strategic Summary'!P20,"AAAAAG69uM4=")</f>
        <v>#VALUE!</v>
      </c>
      <c r="GZ1" t="e">
        <f>AND('Strategic Summary'!Q20,"AAAAAG69uM8=")</f>
        <v>#VALUE!</v>
      </c>
      <c r="HA1" t="e">
        <f>AND('Strategic Summary'!R20,"AAAAAG69uNA=")</f>
        <v>#VALUE!</v>
      </c>
      <c r="HB1">
        <f>IF('Strategic Summary'!$A21:$IV21,"AAAAAG69uNE=",0)</f>
        <v>0</v>
      </c>
      <c r="HC1" t="e">
        <f>AND('Strategic Summary'!A21,"AAAAAG69uNI=")</f>
        <v>#VALUE!</v>
      </c>
      <c r="HD1" t="e">
        <f>AND('Strategic Summary'!B21,"AAAAAG69uNM=")</f>
        <v>#VALUE!</v>
      </c>
      <c r="HE1" t="e">
        <f>AND('Strategic Summary'!C21,"AAAAAG69uNQ=")</f>
        <v>#VALUE!</v>
      </c>
      <c r="HF1" t="e">
        <f>AND('Strategic Summary'!D21,"AAAAAG69uNU=")</f>
        <v>#VALUE!</v>
      </c>
      <c r="HG1" t="e">
        <f>AND('Strategic Summary'!E21,"AAAAAG69uNY=")</f>
        <v>#VALUE!</v>
      </c>
      <c r="HH1" t="e">
        <f>AND('Strategic Summary'!F21,"AAAAAG69uNc=")</f>
        <v>#VALUE!</v>
      </c>
      <c r="HI1" t="e">
        <f>AND('Strategic Summary'!G21,"AAAAAG69uNg=")</f>
        <v>#VALUE!</v>
      </c>
      <c r="HJ1" t="e">
        <f>AND('Strategic Summary'!H21,"AAAAAG69uNk=")</f>
        <v>#VALUE!</v>
      </c>
      <c r="HK1" t="e">
        <f>AND('Strategic Summary'!I21,"AAAAAG69uNo=")</f>
        <v>#VALUE!</v>
      </c>
      <c r="HL1" t="e">
        <f>AND('Strategic Summary'!J21,"AAAAAG69uNs=")</f>
        <v>#VALUE!</v>
      </c>
      <c r="HM1" t="e">
        <f>AND('Strategic Summary'!K21,"AAAAAG69uNw=")</f>
        <v>#VALUE!</v>
      </c>
      <c r="HN1" t="e">
        <f>AND('Strategic Summary'!L21,"AAAAAG69uN0=")</f>
        <v>#VALUE!</v>
      </c>
      <c r="HO1" t="e">
        <f>AND('Strategic Summary'!M21,"AAAAAG69uN4=")</f>
        <v>#VALUE!</v>
      </c>
      <c r="HP1" t="e">
        <f>AND('Strategic Summary'!N21,"AAAAAG69uN8=")</f>
        <v>#VALUE!</v>
      </c>
      <c r="HQ1" t="e">
        <f>AND('Strategic Summary'!O21,"AAAAAG69uOA=")</f>
        <v>#VALUE!</v>
      </c>
      <c r="HR1" t="e">
        <f>AND('Strategic Summary'!P21,"AAAAAG69uOE=")</f>
        <v>#VALUE!</v>
      </c>
      <c r="HS1" t="e">
        <f>AND('Strategic Summary'!Q21,"AAAAAG69uOI=")</f>
        <v>#VALUE!</v>
      </c>
      <c r="HT1" t="e">
        <f>AND('Strategic Summary'!R21,"AAAAAG69uOM=")</f>
        <v>#VALUE!</v>
      </c>
      <c r="HU1">
        <f>IF('Strategic Summary'!$A22:$IV22,"AAAAAG69uOQ=",0)</f>
        <v>0</v>
      </c>
      <c r="HV1" t="e">
        <f>AND('Strategic Summary'!A22,"AAAAAG69uOU=")</f>
        <v>#VALUE!</v>
      </c>
      <c r="HW1" t="e">
        <f>AND('Strategic Summary'!B22,"AAAAAG69uOY=")</f>
        <v>#VALUE!</v>
      </c>
      <c r="HX1" t="e">
        <f>AND('Strategic Summary'!C22,"AAAAAG69uOc=")</f>
        <v>#VALUE!</v>
      </c>
      <c r="HY1" t="e">
        <f>AND('Strategic Summary'!D22,"AAAAAG69uOg=")</f>
        <v>#VALUE!</v>
      </c>
      <c r="HZ1" t="e">
        <f>AND('Strategic Summary'!E22,"AAAAAG69uOk=")</f>
        <v>#VALUE!</v>
      </c>
      <c r="IA1" t="e">
        <f>AND('Strategic Summary'!F22,"AAAAAG69uOo=")</f>
        <v>#VALUE!</v>
      </c>
      <c r="IB1" t="e">
        <f>AND('Strategic Summary'!G22,"AAAAAG69uOs=")</f>
        <v>#VALUE!</v>
      </c>
      <c r="IC1" t="e">
        <f>AND('Strategic Summary'!H22,"AAAAAG69uOw=")</f>
        <v>#VALUE!</v>
      </c>
      <c r="ID1" t="e">
        <f>AND('Strategic Summary'!I22,"AAAAAG69uO0=")</f>
        <v>#VALUE!</v>
      </c>
      <c r="IE1" t="e">
        <f>AND('Strategic Summary'!J22,"AAAAAG69uO4=")</f>
        <v>#VALUE!</v>
      </c>
      <c r="IF1" t="e">
        <f>AND('Strategic Summary'!K22,"AAAAAG69uO8=")</f>
        <v>#VALUE!</v>
      </c>
      <c r="IG1" t="e">
        <f>AND('Strategic Summary'!L22,"AAAAAG69uPA=")</f>
        <v>#VALUE!</v>
      </c>
      <c r="IH1" t="e">
        <f>AND('Strategic Summary'!M22,"AAAAAG69uPE=")</f>
        <v>#VALUE!</v>
      </c>
      <c r="II1" t="e">
        <f>AND('Strategic Summary'!N22,"AAAAAG69uPI=")</f>
        <v>#VALUE!</v>
      </c>
      <c r="IJ1" t="e">
        <f>AND('Strategic Summary'!O22,"AAAAAG69uPM=")</f>
        <v>#VALUE!</v>
      </c>
      <c r="IK1" t="e">
        <f>AND('Strategic Summary'!P22,"AAAAAG69uPQ=")</f>
        <v>#VALUE!</v>
      </c>
      <c r="IL1" t="e">
        <f>AND('Strategic Summary'!Q22,"AAAAAG69uPU=")</f>
        <v>#VALUE!</v>
      </c>
      <c r="IM1" t="e">
        <f>AND('Strategic Summary'!R22,"AAAAAG69uPY=")</f>
        <v>#VALUE!</v>
      </c>
      <c r="IN1" t="e">
        <f>IF('Strategic Summary'!#REF!,"AAAAAG69uPc=",0)</f>
        <v>#REF!</v>
      </c>
      <c r="IO1" t="e">
        <f>AND('Strategic Summary'!#REF!,"AAAAAG69uPg=")</f>
        <v>#REF!</v>
      </c>
      <c r="IP1" t="e">
        <f>AND('Strategic Summary'!#REF!,"AAAAAG69uPk=")</f>
        <v>#REF!</v>
      </c>
      <c r="IQ1" t="e">
        <f>AND('Strategic Summary'!#REF!,"AAAAAG69uPo=")</f>
        <v>#REF!</v>
      </c>
      <c r="IR1" t="e">
        <f>AND('Strategic Summary'!#REF!,"AAAAAG69uPs=")</f>
        <v>#REF!</v>
      </c>
      <c r="IS1" t="e">
        <f>AND('Strategic Summary'!#REF!,"AAAAAG69uPw=")</f>
        <v>#REF!</v>
      </c>
      <c r="IT1" t="e">
        <f>AND('Strategic Summary'!#REF!,"AAAAAG69uP0=")</f>
        <v>#REF!</v>
      </c>
      <c r="IU1" t="e">
        <f>AND('Strategic Summary'!#REF!,"AAAAAG69uP4=")</f>
        <v>#REF!</v>
      </c>
      <c r="IV1" t="e">
        <f>AND('Strategic Summary'!#REF!,"AAAAAG69uP8=")</f>
        <v>#REF!</v>
      </c>
    </row>
    <row r="2" spans="1:256" ht="12.75" customHeight="1" x14ac:dyDescent="0.2">
      <c r="A2" t="e">
        <f>AND('Strategic Summary'!#REF!,"AAAAABPrnwA=")</f>
        <v>#REF!</v>
      </c>
      <c r="B2" t="e">
        <f>AND('Strategic Summary'!#REF!,"AAAAABPrnwE=")</f>
        <v>#REF!</v>
      </c>
      <c r="C2" t="e">
        <f>AND('Strategic Summary'!#REF!,"AAAAABPrnwI=")</f>
        <v>#REF!</v>
      </c>
      <c r="D2" t="e">
        <f>AND('Strategic Summary'!#REF!,"AAAAABPrnwM=")</f>
        <v>#REF!</v>
      </c>
      <c r="E2" t="e">
        <f>AND('Strategic Summary'!#REF!,"AAAAABPrnwQ=")</f>
        <v>#REF!</v>
      </c>
      <c r="F2" t="e">
        <f>AND('Strategic Summary'!#REF!,"AAAAABPrnwU=")</f>
        <v>#REF!</v>
      </c>
      <c r="G2" t="e">
        <f>AND('Strategic Summary'!#REF!,"AAAAABPrnwY=")</f>
        <v>#REF!</v>
      </c>
      <c r="H2" t="e">
        <f>AND('Strategic Summary'!#REF!,"AAAAABPrnwc=")</f>
        <v>#REF!</v>
      </c>
      <c r="I2" t="e">
        <f>AND('Strategic Summary'!#REF!,"AAAAABPrnwg=")</f>
        <v>#REF!</v>
      </c>
      <c r="J2" t="e">
        <f>AND('Strategic Summary'!#REF!,"AAAAABPrnwk=")</f>
        <v>#REF!</v>
      </c>
      <c r="K2">
        <f>IF('Strategic Summary'!$A23:$IV23,"AAAAABPrnwo=",0)</f>
        <v>0</v>
      </c>
      <c r="L2" t="e">
        <f>AND('Strategic Summary'!A23,"AAAAABPrnws=")</f>
        <v>#VALUE!</v>
      </c>
      <c r="M2" t="e">
        <f>AND('Strategic Summary'!B23,"AAAAABPrnww=")</f>
        <v>#VALUE!</v>
      </c>
      <c r="N2" t="e">
        <f>AND('Strategic Summary'!C23,"AAAAABPrnw0=")</f>
        <v>#VALUE!</v>
      </c>
      <c r="O2" t="e">
        <f>AND('Strategic Summary'!D23,"AAAAABPrnw4=")</f>
        <v>#VALUE!</v>
      </c>
      <c r="P2" t="e">
        <f>AND('Strategic Summary'!E23,"AAAAABPrnw8=")</f>
        <v>#VALUE!</v>
      </c>
      <c r="Q2" t="e">
        <f>AND('Strategic Summary'!F23,"AAAAABPrnxA=")</f>
        <v>#VALUE!</v>
      </c>
      <c r="R2" t="e">
        <f>AND('Strategic Summary'!G23,"AAAAABPrnxE=")</f>
        <v>#VALUE!</v>
      </c>
      <c r="S2" t="e">
        <f>AND('Strategic Summary'!H23,"AAAAABPrnxI=")</f>
        <v>#VALUE!</v>
      </c>
      <c r="T2" t="e">
        <f>AND('Strategic Summary'!I23,"AAAAABPrnxM=")</f>
        <v>#VALUE!</v>
      </c>
      <c r="U2" t="e">
        <f>AND('Strategic Summary'!J23,"AAAAABPrnxQ=")</f>
        <v>#VALUE!</v>
      </c>
      <c r="V2" t="e">
        <f>AND('Strategic Summary'!K23,"AAAAABPrnxU=")</f>
        <v>#VALUE!</v>
      </c>
      <c r="W2" t="e">
        <f>AND('Strategic Summary'!L23,"AAAAABPrnxY=")</f>
        <v>#VALUE!</v>
      </c>
      <c r="X2" t="e">
        <f>AND('Strategic Summary'!M23,"AAAAABPrnxc=")</f>
        <v>#VALUE!</v>
      </c>
      <c r="Y2" t="e">
        <f>AND('Strategic Summary'!N23,"AAAAABPrnxg=")</f>
        <v>#VALUE!</v>
      </c>
      <c r="Z2" t="e">
        <f>AND('Strategic Summary'!O23,"AAAAABPrnxk=")</f>
        <v>#VALUE!</v>
      </c>
      <c r="AA2" t="e">
        <f>AND('Strategic Summary'!P23,"AAAAABPrnxo=")</f>
        <v>#VALUE!</v>
      </c>
      <c r="AB2" t="e">
        <f>AND('Strategic Summary'!Q23,"AAAAABPrnxs=")</f>
        <v>#VALUE!</v>
      </c>
      <c r="AC2" t="e">
        <f>AND('Strategic Summary'!R23,"AAAAABPrnxw=")</f>
        <v>#VALUE!</v>
      </c>
      <c r="AD2">
        <f>IF('Strategic Summary'!$A24:$IV24,"AAAAABPrnx0=",0)</f>
        <v>0</v>
      </c>
      <c r="AE2" t="e">
        <f>AND('Strategic Summary'!A24,"AAAAABPrnx4=")</f>
        <v>#VALUE!</v>
      </c>
      <c r="AF2" t="e">
        <f>AND('Strategic Summary'!B24,"AAAAABPrnx8=")</f>
        <v>#VALUE!</v>
      </c>
      <c r="AG2" t="e">
        <f>AND('Strategic Summary'!C24,"AAAAABPrnyA=")</f>
        <v>#VALUE!</v>
      </c>
      <c r="AH2" t="e">
        <f>AND('Strategic Summary'!D24,"AAAAABPrnyE=")</f>
        <v>#VALUE!</v>
      </c>
      <c r="AI2" t="e">
        <f>AND('Strategic Summary'!E24,"AAAAABPrnyI=")</f>
        <v>#VALUE!</v>
      </c>
      <c r="AJ2" t="e">
        <f>AND('Strategic Summary'!F24,"AAAAABPrnyM=")</f>
        <v>#VALUE!</v>
      </c>
      <c r="AK2" t="e">
        <f>AND('Strategic Summary'!G24,"AAAAABPrnyQ=")</f>
        <v>#VALUE!</v>
      </c>
      <c r="AL2" t="e">
        <f>AND('Strategic Summary'!H24,"AAAAABPrnyU=")</f>
        <v>#VALUE!</v>
      </c>
      <c r="AM2" t="e">
        <f>AND('Strategic Summary'!I24,"AAAAABPrnyY=")</f>
        <v>#VALUE!</v>
      </c>
      <c r="AN2" t="e">
        <f>AND('Strategic Summary'!J24,"AAAAABPrnyc=")</f>
        <v>#VALUE!</v>
      </c>
      <c r="AO2" t="e">
        <f>AND('Strategic Summary'!K24,"AAAAABPrnyg=")</f>
        <v>#VALUE!</v>
      </c>
      <c r="AP2" t="e">
        <f>AND('Strategic Summary'!L24,"AAAAABPrnyk=")</f>
        <v>#VALUE!</v>
      </c>
      <c r="AQ2" t="e">
        <f>AND('Strategic Summary'!M24,"AAAAABPrnyo=")</f>
        <v>#VALUE!</v>
      </c>
      <c r="AR2" t="e">
        <f>AND('Strategic Summary'!N24,"AAAAABPrnys=")</f>
        <v>#VALUE!</v>
      </c>
      <c r="AS2" t="e">
        <f>AND('Strategic Summary'!O24,"AAAAABPrnyw=")</f>
        <v>#VALUE!</v>
      </c>
      <c r="AT2" t="e">
        <f>AND('Strategic Summary'!P24,"AAAAABPrny0=")</f>
        <v>#VALUE!</v>
      </c>
      <c r="AU2" t="e">
        <f>AND('Strategic Summary'!Q24,"AAAAABPrny4=")</f>
        <v>#VALUE!</v>
      </c>
      <c r="AV2" t="e">
        <f>AND('Strategic Summary'!R24,"AAAAABPrny8=")</f>
        <v>#VALUE!</v>
      </c>
      <c r="AW2">
        <f>IF('Strategic Summary'!$A25:$IV25,"AAAAABPrnzA=",0)</f>
        <v>0</v>
      </c>
      <c r="AX2" t="e">
        <f>AND('Strategic Summary'!A25,"AAAAABPrnzE=")</f>
        <v>#VALUE!</v>
      </c>
      <c r="AY2" t="e">
        <f>AND('Strategic Summary'!B25,"AAAAABPrnzI=")</f>
        <v>#VALUE!</v>
      </c>
      <c r="AZ2" t="e">
        <f>AND('Strategic Summary'!#REF!,"AAAAABPrnzM=")</f>
        <v>#REF!</v>
      </c>
      <c r="BA2" t="e">
        <f>AND('Strategic Summary'!#REF!,"AAAAABPrnzQ=")</f>
        <v>#REF!</v>
      </c>
      <c r="BB2" t="e">
        <f>AND('Strategic Summary'!#REF!,"AAAAABPrnzU=")</f>
        <v>#REF!</v>
      </c>
      <c r="BC2" t="e">
        <f>AND('Strategic Summary'!#REF!,"AAAAABPrnzY=")</f>
        <v>#REF!</v>
      </c>
      <c r="BD2" t="e">
        <f>AND('Strategic Summary'!G25,"AAAAABPrnzc=")</f>
        <v>#VALUE!</v>
      </c>
      <c r="BE2" t="e">
        <f>AND('Strategic Summary'!H25,"AAAAABPrnzg=")</f>
        <v>#VALUE!</v>
      </c>
      <c r="BF2" t="e">
        <f>AND('Strategic Summary'!I25,"AAAAABPrnzk=")</f>
        <v>#VALUE!</v>
      </c>
      <c r="BG2" t="e">
        <f>AND('Strategic Summary'!J25,"AAAAABPrnzo=")</f>
        <v>#VALUE!</v>
      </c>
      <c r="BH2" t="e">
        <f>AND('Strategic Summary'!K25,"AAAAABPrnzs=")</f>
        <v>#VALUE!</v>
      </c>
      <c r="BI2" t="e">
        <f>AND('Strategic Summary'!L25,"AAAAABPrnzw=")</f>
        <v>#VALUE!</v>
      </c>
      <c r="BJ2" t="e">
        <f>AND('Strategic Summary'!M25,"AAAAABPrnz0=")</f>
        <v>#VALUE!</v>
      </c>
      <c r="BK2" t="e">
        <f>AND('Strategic Summary'!N25,"AAAAABPrnz4=")</f>
        <v>#VALUE!</v>
      </c>
      <c r="BL2" t="e">
        <f>AND('Strategic Summary'!O25,"AAAAABPrnz8=")</f>
        <v>#VALUE!</v>
      </c>
      <c r="BM2" t="e">
        <f>AND('Strategic Summary'!P25,"AAAAABPrn0A=")</f>
        <v>#VALUE!</v>
      </c>
      <c r="BN2" t="e">
        <f>AND('Strategic Summary'!Q25,"AAAAABPrn0E=")</f>
        <v>#VALUE!</v>
      </c>
      <c r="BO2" t="e">
        <f>AND('Strategic Summary'!R25,"AAAAABPrn0I=")</f>
        <v>#VALUE!</v>
      </c>
      <c r="BP2">
        <f>IF('Strategic Summary'!$A26:$IV26,"AAAAABPrn0M=",0)</f>
        <v>0</v>
      </c>
      <c r="BQ2" t="e">
        <f>AND('Strategic Summary'!A26,"AAAAABPrn0Q=")</f>
        <v>#VALUE!</v>
      </c>
      <c r="BR2" t="e">
        <f>AND('Strategic Summary'!B26,"AAAAABPrn0U=")</f>
        <v>#VALUE!</v>
      </c>
      <c r="BS2" t="e">
        <f>AND('Strategic Summary'!C26,"AAAAABPrn0Y=")</f>
        <v>#VALUE!</v>
      </c>
      <c r="BT2" t="e">
        <f>AND('Strategic Summary'!D26,"AAAAABPrn0c=")</f>
        <v>#VALUE!</v>
      </c>
      <c r="BU2" t="e">
        <f>AND('Strategic Summary'!E26,"AAAAABPrn0g=")</f>
        <v>#VALUE!</v>
      </c>
      <c r="BV2" t="e">
        <f>AND('Strategic Summary'!F26,"AAAAABPrn0k=")</f>
        <v>#VALUE!</v>
      </c>
      <c r="BW2" t="e">
        <f>AND('Strategic Summary'!G26,"AAAAABPrn0o=")</f>
        <v>#VALUE!</v>
      </c>
      <c r="BX2" t="e">
        <f>AND('Strategic Summary'!H26,"AAAAABPrn0s=")</f>
        <v>#VALUE!</v>
      </c>
      <c r="BY2" t="e">
        <f>AND('Strategic Summary'!I26,"AAAAABPrn0w=")</f>
        <v>#VALUE!</v>
      </c>
      <c r="BZ2" t="e">
        <f>AND('Strategic Summary'!J26,"AAAAABPrn00=")</f>
        <v>#VALUE!</v>
      </c>
      <c r="CA2" t="e">
        <f>AND('Strategic Summary'!K26,"AAAAABPrn04=")</f>
        <v>#VALUE!</v>
      </c>
      <c r="CB2" t="e">
        <f>AND('Strategic Summary'!L26,"AAAAABPrn08=")</f>
        <v>#VALUE!</v>
      </c>
      <c r="CC2" t="e">
        <f>AND('Strategic Summary'!M26,"AAAAABPrn1A=")</f>
        <v>#VALUE!</v>
      </c>
      <c r="CD2" t="e">
        <f>AND('Strategic Summary'!N26,"AAAAABPrn1E=")</f>
        <v>#VALUE!</v>
      </c>
      <c r="CE2" t="e">
        <f>AND('Strategic Summary'!O26,"AAAAABPrn1I=")</f>
        <v>#VALUE!</v>
      </c>
      <c r="CF2" t="e">
        <f>AND('Strategic Summary'!P26,"AAAAABPrn1M=")</f>
        <v>#VALUE!</v>
      </c>
      <c r="CG2" t="e">
        <f>AND('Strategic Summary'!Q26,"AAAAABPrn1Q=")</f>
        <v>#VALUE!</v>
      </c>
      <c r="CH2" t="e">
        <f>AND('Strategic Summary'!R26,"AAAAABPrn1U=")</f>
        <v>#VALUE!</v>
      </c>
      <c r="CI2">
        <f>IF('Strategic Summary'!$A27:$IV27,"AAAAABPrn1Y=",0)</f>
        <v>0</v>
      </c>
      <c r="CJ2" t="e">
        <f>AND('Strategic Summary'!A27,"AAAAABPrn1c=")</f>
        <v>#VALUE!</v>
      </c>
      <c r="CK2" t="e">
        <f>AND('Strategic Summary'!B27,"AAAAABPrn1g=")</f>
        <v>#VALUE!</v>
      </c>
      <c r="CL2" t="e">
        <f>AND('Strategic Summary'!C27,"AAAAABPrn1k=")</f>
        <v>#VALUE!</v>
      </c>
      <c r="CM2" t="e">
        <f>AND('Strategic Summary'!D27,"AAAAABPrn1o=")</f>
        <v>#VALUE!</v>
      </c>
      <c r="CN2" t="e">
        <f>AND('Strategic Summary'!E27,"AAAAABPrn1s=")</f>
        <v>#VALUE!</v>
      </c>
      <c r="CO2" t="e">
        <f>AND('Strategic Summary'!F27,"AAAAABPrn1w=")</f>
        <v>#VALUE!</v>
      </c>
      <c r="CP2" t="e">
        <f>AND('Strategic Summary'!G27,"AAAAABPrn10=")</f>
        <v>#VALUE!</v>
      </c>
      <c r="CQ2" t="e">
        <f>AND('Strategic Summary'!H27,"AAAAABPrn14=")</f>
        <v>#VALUE!</v>
      </c>
      <c r="CR2" t="e">
        <f>AND('Strategic Summary'!I27,"AAAAABPrn18=")</f>
        <v>#VALUE!</v>
      </c>
      <c r="CS2" t="e">
        <f>AND('Strategic Summary'!J27,"AAAAABPrn2A=")</f>
        <v>#VALUE!</v>
      </c>
      <c r="CT2" t="e">
        <f>AND('Strategic Summary'!K27,"AAAAABPrn2E=")</f>
        <v>#VALUE!</v>
      </c>
      <c r="CU2" t="e">
        <f>AND('Strategic Summary'!L27,"AAAAABPrn2I=")</f>
        <v>#VALUE!</v>
      </c>
      <c r="CV2" t="e">
        <f>AND('Strategic Summary'!M27,"AAAAABPrn2M=")</f>
        <v>#VALUE!</v>
      </c>
      <c r="CW2" t="e">
        <f>AND('Strategic Summary'!N27,"AAAAABPrn2Q=")</f>
        <v>#VALUE!</v>
      </c>
      <c r="CX2" t="e">
        <f>AND('Strategic Summary'!O27,"AAAAABPrn2U=")</f>
        <v>#VALUE!</v>
      </c>
      <c r="CY2" t="e">
        <f>AND('Strategic Summary'!P27,"AAAAABPrn2Y=")</f>
        <v>#VALUE!</v>
      </c>
      <c r="CZ2" t="e">
        <f>AND('Strategic Summary'!Q27,"AAAAABPrn2c=")</f>
        <v>#VALUE!</v>
      </c>
      <c r="DA2" t="e">
        <f>AND('Strategic Summary'!R27,"AAAAABPrn2g=")</f>
        <v>#VALUE!</v>
      </c>
      <c r="DB2">
        <f>IF('Strategic Summary'!$A31:$IV31,"AAAAABPrn2k=",0)</f>
        <v>0</v>
      </c>
      <c r="DC2" t="e">
        <f>AND('Strategic Summary'!A31,"AAAAABPrn2o=")</f>
        <v>#VALUE!</v>
      </c>
      <c r="DD2" t="e">
        <f>AND('Strategic Summary'!B31,"AAAAABPrn2s=")</f>
        <v>#VALUE!</v>
      </c>
      <c r="DE2" t="e">
        <f>AND('Strategic Summary'!C31,"AAAAABPrn2w=")</f>
        <v>#VALUE!</v>
      </c>
      <c r="DF2" t="e">
        <f>AND('Strategic Summary'!D31,"AAAAABPrn20=")</f>
        <v>#VALUE!</v>
      </c>
      <c r="DG2" t="e">
        <f>AND('Strategic Summary'!E31,"AAAAABPrn24=")</f>
        <v>#VALUE!</v>
      </c>
      <c r="DH2" t="e">
        <f>AND('Strategic Summary'!F31,"AAAAABPrn28=")</f>
        <v>#VALUE!</v>
      </c>
      <c r="DI2" t="e">
        <f>AND('Strategic Summary'!G31,"AAAAABPrn3A=")</f>
        <v>#VALUE!</v>
      </c>
      <c r="DJ2" t="e">
        <f>AND('Strategic Summary'!H31,"AAAAABPrn3E=")</f>
        <v>#VALUE!</v>
      </c>
      <c r="DK2" t="e">
        <f>AND('Strategic Summary'!I31,"AAAAABPrn3I=")</f>
        <v>#VALUE!</v>
      </c>
      <c r="DL2" t="e">
        <f>AND('Strategic Summary'!J31,"AAAAABPrn3M=")</f>
        <v>#VALUE!</v>
      </c>
      <c r="DM2" t="e">
        <f>AND('Strategic Summary'!K31,"AAAAABPrn3Q=")</f>
        <v>#VALUE!</v>
      </c>
      <c r="DN2" t="e">
        <f>AND('Strategic Summary'!L31,"AAAAABPrn3U=")</f>
        <v>#VALUE!</v>
      </c>
      <c r="DO2" t="e">
        <f>AND('Strategic Summary'!M31,"AAAAABPrn3Y=")</f>
        <v>#VALUE!</v>
      </c>
      <c r="DP2" t="e">
        <f>AND('Strategic Summary'!N31,"AAAAABPrn3c=")</f>
        <v>#VALUE!</v>
      </c>
      <c r="DQ2" t="e">
        <f>AND('Strategic Summary'!O31,"AAAAABPrn3g=")</f>
        <v>#VALUE!</v>
      </c>
      <c r="DR2" t="e">
        <f>AND('Strategic Summary'!P31,"AAAAABPrn3k=")</f>
        <v>#VALUE!</v>
      </c>
      <c r="DS2" t="e">
        <f>AND('Strategic Summary'!Q31,"AAAAABPrn3o=")</f>
        <v>#VALUE!</v>
      </c>
      <c r="DT2" t="e">
        <f>AND('Strategic Summary'!R31,"AAAAABPrn3s=")</f>
        <v>#VALUE!</v>
      </c>
      <c r="DU2">
        <f>IF('Strategic Summary'!$A32:$IV32,"AAAAABPrn3w=",0)</f>
        <v>0</v>
      </c>
      <c r="DV2" t="e">
        <f>AND('Strategic Summary'!A32,"AAAAABPrn30=")</f>
        <v>#VALUE!</v>
      </c>
      <c r="DW2" t="e">
        <f>AND('Strategic Summary'!B32,"AAAAABPrn34=")</f>
        <v>#VALUE!</v>
      </c>
      <c r="DX2" t="e">
        <f>AND('Strategic Summary'!C32,"AAAAABPrn38=")</f>
        <v>#VALUE!</v>
      </c>
      <c r="DY2" t="e">
        <f>AND('Strategic Summary'!D32,"AAAAABPrn4A=")</f>
        <v>#VALUE!</v>
      </c>
      <c r="DZ2" t="e">
        <f>AND('Strategic Summary'!E32,"AAAAABPrn4E=")</f>
        <v>#VALUE!</v>
      </c>
      <c r="EA2" t="e">
        <f>AND('Strategic Summary'!F32,"AAAAABPrn4I=")</f>
        <v>#VALUE!</v>
      </c>
      <c r="EB2" t="e">
        <f>AND('Strategic Summary'!G32,"AAAAABPrn4M=")</f>
        <v>#VALUE!</v>
      </c>
      <c r="EC2" t="e">
        <f>AND('Strategic Summary'!H32,"AAAAABPrn4Q=")</f>
        <v>#VALUE!</v>
      </c>
      <c r="ED2" t="e">
        <f>AND('Strategic Summary'!I32,"AAAAABPrn4U=")</f>
        <v>#VALUE!</v>
      </c>
      <c r="EE2" t="e">
        <f>AND('Strategic Summary'!J32,"AAAAABPrn4Y=")</f>
        <v>#VALUE!</v>
      </c>
      <c r="EF2" t="e">
        <f>AND('Strategic Summary'!K32,"AAAAABPrn4c=")</f>
        <v>#VALUE!</v>
      </c>
      <c r="EG2" t="e">
        <f>AND('Strategic Summary'!L32,"AAAAABPrn4g=")</f>
        <v>#VALUE!</v>
      </c>
      <c r="EH2" t="e">
        <f>AND('Strategic Summary'!M32,"AAAAABPrn4k=")</f>
        <v>#VALUE!</v>
      </c>
      <c r="EI2" t="e">
        <f>AND('Strategic Summary'!N32,"AAAAABPrn4o=")</f>
        <v>#VALUE!</v>
      </c>
      <c r="EJ2" t="e">
        <f>AND('Strategic Summary'!O32,"AAAAABPrn4s=")</f>
        <v>#VALUE!</v>
      </c>
      <c r="EK2" t="e">
        <f>AND('Strategic Summary'!P32,"AAAAABPrn4w=")</f>
        <v>#VALUE!</v>
      </c>
      <c r="EL2" t="e">
        <f>AND('Strategic Summary'!Q32,"AAAAABPrn40=")</f>
        <v>#VALUE!</v>
      </c>
      <c r="EM2" t="e">
        <f>AND('Strategic Summary'!R32,"AAAAABPrn44=")</f>
        <v>#VALUE!</v>
      </c>
      <c r="EN2">
        <f>IF('Strategic Summary'!$A35:$IV35,"AAAAABPrn48=",0)</f>
        <v>0</v>
      </c>
      <c r="EO2" t="e">
        <f>AND('Strategic Summary'!A35,"AAAAABPrn5A=")</f>
        <v>#VALUE!</v>
      </c>
      <c r="EP2" t="e">
        <f>AND('Strategic Summary'!B35,"AAAAABPrn5E=")</f>
        <v>#VALUE!</v>
      </c>
      <c r="EQ2" t="e">
        <f>AND('Strategic Summary'!C35,"AAAAABPrn5I=")</f>
        <v>#VALUE!</v>
      </c>
      <c r="ER2" t="e">
        <f>AND('Strategic Summary'!D35,"AAAAABPrn5M=")</f>
        <v>#VALUE!</v>
      </c>
      <c r="ES2" t="e">
        <f>AND('Strategic Summary'!E35,"AAAAABPrn5Q=")</f>
        <v>#VALUE!</v>
      </c>
      <c r="ET2" t="e">
        <f>AND('Strategic Summary'!F35,"AAAAABPrn5U=")</f>
        <v>#VALUE!</v>
      </c>
      <c r="EU2" t="e">
        <f>AND('Strategic Summary'!G35,"AAAAABPrn5Y=")</f>
        <v>#VALUE!</v>
      </c>
      <c r="EV2" t="e">
        <f>AND('Strategic Summary'!H35,"AAAAABPrn5c=")</f>
        <v>#VALUE!</v>
      </c>
      <c r="EW2" t="e">
        <f>AND('Strategic Summary'!I35,"AAAAABPrn5g=")</f>
        <v>#VALUE!</v>
      </c>
      <c r="EX2" t="e">
        <f>AND('Strategic Summary'!J35,"AAAAABPrn5k=")</f>
        <v>#VALUE!</v>
      </c>
      <c r="EY2" t="e">
        <f>AND('Strategic Summary'!K35,"AAAAABPrn5o=")</f>
        <v>#VALUE!</v>
      </c>
      <c r="EZ2" t="e">
        <f>AND('Strategic Summary'!L35,"AAAAABPrn5s=")</f>
        <v>#VALUE!</v>
      </c>
      <c r="FA2" t="e">
        <f>AND('Strategic Summary'!M35,"AAAAABPrn5w=")</f>
        <v>#VALUE!</v>
      </c>
      <c r="FB2" t="e">
        <f>AND('Strategic Summary'!N35,"AAAAABPrn50=")</f>
        <v>#VALUE!</v>
      </c>
      <c r="FC2" t="e">
        <f>AND('Strategic Summary'!O35,"AAAAABPrn54=")</f>
        <v>#VALUE!</v>
      </c>
      <c r="FD2" t="e">
        <f>AND('Strategic Summary'!P35,"AAAAABPrn58=")</f>
        <v>#VALUE!</v>
      </c>
      <c r="FE2" t="e">
        <f>AND('Strategic Summary'!Q35,"AAAAABPrn6A=")</f>
        <v>#VALUE!</v>
      </c>
      <c r="FF2" t="e">
        <f>AND('Strategic Summary'!R35,"AAAAABPrn6E=")</f>
        <v>#VALUE!</v>
      </c>
      <c r="FG2">
        <f>IF('Strategic Summary'!$A36:$IV36,"AAAAABPrn6I=",0)</f>
        <v>0</v>
      </c>
      <c r="FH2" t="e">
        <f>AND('Strategic Summary'!A36,"AAAAABPrn6M=")</f>
        <v>#VALUE!</v>
      </c>
      <c r="FI2" t="e">
        <f>AND('Strategic Summary'!B36,"AAAAABPrn6Q=")</f>
        <v>#VALUE!</v>
      </c>
      <c r="FJ2" t="e">
        <f>AND('Strategic Summary'!C36,"AAAAABPrn6U=")</f>
        <v>#VALUE!</v>
      </c>
      <c r="FK2" t="e">
        <f>AND('Strategic Summary'!D36,"AAAAABPrn6Y=")</f>
        <v>#VALUE!</v>
      </c>
      <c r="FL2" t="e">
        <f>AND('Strategic Summary'!E36,"AAAAABPrn6c=")</f>
        <v>#VALUE!</v>
      </c>
      <c r="FM2" t="e">
        <f>AND('Strategic Summary'!F36,"AAAAABPrn6g=")</f>
        <v>#VALUE!</v>
      </c>
      <c r="FN2" t="e">
        <f>AND('Strategic Summary'!G36,"AAAAABPrn6k=")</f>
        <v>#VALUE!</v>
      </c>
      <c r="FO2" t="e">
        <f>AND('Strategic Summary'!H36,"AAAAABPrn6o=")</f>
        <v>#VALUE!</v>
      </c>
      <c r="FP2" t="e">
        <f>AND('Strategic Summary'!I36,"AAAAABPrn6s=")</f>
        <v>#VALUE!</v>
      </c>
      <c r="FQ2" t="e">
        <f>AND('Strategic Summary'!J36,"AAAAABPrn6w=")</f>
        <v>#VALUE!</v>
      </c>
      <c r="FR2" t="e">
        <f>AND('Strategic Summary'!K36,"AAAAABPrn60=")</f>
        <v>#VALUE!</v>
      </c>
      <c r="FS2" t="e">
        <f>AND('Strategic Summary'!L36,"AAAAABPrn64=")</f>
        <v>#VALUE!</v>
      </c>
      <c r="FT2" t="e">
        <f>AND('Strategic Summary'!M36,"AAAAABPrn68=")</f>
        <v>#VALUE!</v>
      </c>
      <c r="FU2" t="e">
        <f>AND('Strategic Summary'!N36,"AAAAABPrn7A=")</f>
        <v>#VALUE!</v>
      </c>
      <c r="FV2" t="e">
        <f>AND('Strategic Summary'!O36,"AAAAABPrn7E=")</f>
        <v>#VALUE!</v>
      </c>
      <c r="FW2" t="e">
        <f>AND('Strategic Summary'!P36,"AAAAABPrn7I=")</f>
        <v>#VALUE!</v>
      </c>
      <c r="FX2" t="e">
        <f>AND('Strategic Summary'!Q36,"AAAAABPrn7M=")</f>
        <v>#VALUE!</v>
      </c>
      <c r="FY2" t="e">
        <f>AND('Strategic Summary'!R36,"AAAAABPrn7Q=")</f>
        <v>#VALUE!</v>
      </c>
      <c r="FZ2" t="e">
        <f>IF('Strategic Summary'!#REF!,"AAAAABPrn7U=",0)</f>
        <v>#REF!</v>
      </c>
      <c r="GA2" t="e">
        <f>AND('Strategic Summary'!#REF!,"AAAAABPrn7Y=")</f>
        <v>#REF!</v>
      </c>
      <c r="GB2" t="e">
        <f>AND('Strategic Summary'!#REF!,"AAAAABPrn7c=")</f>
        <v>#REF!</v>
      </c>
      <c r="GC2" t="e">
        <f>AND('Strategic Summary'!#REF!,"AAAAABPrn7g=")</f>
        <v>#REF!</v>
      </c>
      <c r="GD2" t="e">
        <f>AND('Strategic Summary'!#REF!,"AAAAABPrn7k=")</f>
        <v>#REF!</v>
      </c>
      <c r="GE2" t="e">
        <f>AND('Strategic Summary'!#REF!,"AAAAABPrn7o=")</f>
        <v>#REF!</v>
      </c>
      <c r="GF2" t="e">
        <f>AND('Strategic Summary'!#REF!,"AAAAABPrn7s=")</f>
        <v>#REF!</v>
      </c>
      <c r="GG2" t="e">
        <f>AND('Strategic Summary'!#REF!,"AAAAABPrn7w=")</f>
        <v>#REF!</v>
      </c>
      <c r="GH2" t="e">
        <f>AND('Strategic Summary'!#REF!,"AAAAABPrn70=")</f>
        <v>#REF!</v>
      </c>
      <c r="GI2" t="e">
        <f>AND('Strategic Summary'!#REF!,"AAAAABPrn74=")</f>
        <v>#REF!</v>
      </c>
      <c r="GJ2" t="e">
        <f>AND('Strategic Summary'!#REF!,"AAAAABPrn78=")</f>
        <v>#REF!</v>
      </c>
      <c r="GK2" t="e">
        <f>AND('Strategic Summary'!#REF!,"AAAAABPrn8A=")</f>
        <v>#REF!</v>
      </c>
      <c r="GL2" t="e">
        <f>AND('Strategic Summary'!#REF!,"AAAAABPrn8E=")</f>
        <v>#REF!</v>
      </c>
      <c r="GM2" t="e">
        <f>AND('Strategic Summary'!#REF!,"AAAAABPrn8I=")</f>
        <v>#REF!</v>
      </c>
      <c r="GN2" t="e">
        <f>AND('Strategic Summary'!#REF!,"AAAAABPrn8M=")</f>
        <v>#REF!</v>
      </c>
      <c r="GO2" t="e">
        <f>AND('Strategic Summary'!#REF!,"AAAAABPrn8Q=")</f>
        <v>#REF!</v>
      </c>
      <c r="GP2" t="e">
        <f>AND('Strategic Summary'!#REF!,"AAAAABPrn8U=")</f>
        <v>#REF!</v>
      </c>
      <c r="GQ2" t="e">
        <f>AND('Strategic Summary'!#REF!,"AAAAABPrn8Y=")</f>
        <v>#REF!</v>
      </c>
      <c r="GR2" t="e">
        <f>AND('Strategic Summary'!#REF!,"AAAAABPrn8c=")</f>
        <v>#REF!</v>
      </c>
      <c r="GS2" t="e">
        <f>IF('Strategic Summary'!#REF!,"AAAAABPrn8g=",0)</f>
        <v>#REF!</v>
      </c>
      <c r="GT2" t="e">
        <f>AND('Strategic Summary'!#REF!,"AAAAABPrn8k=")</f>
        <v>#REF!</v>
      </c>
      <c r="GU2" t="e">
        <f>AND('Strategic Summary'!#REF!,"AAAAABPrn8o=")</f>
        <v>#REF!</v>
      </c>
      <c r="GV2" t="e">
        <f>AND('Strategic Summary'!#REF!,"AAAAABPrn8s=")</f>
        <v>#REF!</v>
      </c>
      <c r="GW2" t="e">
        <f>AND('Strategic Summary'!#REF!,"AAAAABPrn8w=")</f>
        <v>#REF!</v>
      </c>
      <c r="GX2" t="e">
        <f>AND('Strategic Summary'!#REF!,"AAAAABPrn80=")</f>
        <v>#REF!</v>
      </c>
      <c r="GY2" t="e">
        <f>AND('Strategic Summary'!#REF!,"AAAAABPrn84=")</f>
        <v>#REF!</v>
      </c>
      <c r="GZ2" t="e">
        <f>AND('Strategic Summary'!#REF!,"AAAAABPrn88=")</f>
        <v>#REF!</v>
      </c>
      <c r="HA2" t="e">
        <f>AND('Strategic Summary'!#REF!,"AAAAABPrn9A=")</f>
        <v>#REF!</v>
      </c>
      <c r="HB2" t="e">
        <f>AND('Strategic Summary'!#REF!,"AAAAABPrn9E=")</f>
        <v>#REF!</v>
      </c>
      <c r="HC2" t="e">
        <f>AND('Strategic Summary'!#REF!,"AAAAABPrn9I=")</f>
        <v>#REF!</v>
      </c>
      <c r="HD2" t="e">
        <f>AND('Strategic Summary'!#REF!,"AAAAABPrn9M=")</f>
        <v>#REF!</v>
      </c>
      <c r="HE2" t="e">
        <f>AND('Strategic Summary'!#REF!,"AAAAABPrn9Q=")</f>
        <v>#REF!</v>
      </c>
      <c r="HF2" t="e">
        <f>AND('Strategic Summary'!#REF!,"AAAAABPrn9U=")</f>
        <v>#REF!</v>
      </c>
      <c r="HG2" t="e">
        <f>AND('Strategic Summary'!#REF!,"AAAAABPrn9Y=")</f>
        <v>#REF!</v>
      </c>
      <c r="HH2" t="e">
        <f>AND('Strategic Summary'!#REF!,"AAAAABPrn9c=")</f>
        <v>#REF!</v>
      </c>
      <c r="HI2" t="e">
        <f>AND('Strategic Summary'!#REF!,"AAAAABPrn9g=")</f>
        <v>#REF!</v>
      </c>
      <c r="HJ2" t="e">
        <f>AND('Strategic Summary'!#REF!,"AAAAABPrn9k=")</f>
        <v>#REF!</v>
      </c>
      <c r="HK2" t="e">
        <f>AND('Strategic Summary'!#REF!,"AAAAABPrn9o=")</f>
        <v>#REF!</v>
      </c>
      <c r="HL2" t="e">
        <f>IF('Strategic Summary'!#REF!,"AAAAABPrn9s=",0)</f>
        <v>#REF!</v>
      </c>
      <c r="HM2" t="e">
        <f>AND('Strategic Summary'!#REF!,"AAAAABPrn9w=")</f>
        <v>#REF!</v>
      </c>
      <c r="HN2" t="e">
        <f>AND('Strategic Summary'!#REF!,"AAAAABPrn90=")</f>
        <v>#REF!</v>
      </c>
      <c r="HO2" t="e">
        <f>AND('Strategic Summary'!#REF!,"AAAAABPrn94=")</f>
        <v>#REF!</v>
      </c>
      <c r="HP2" t="e">
        <f>AND('Strategic Summary'!#REF!,"AAAAABPrn98=")</f>
        <v>#REF!</v>
      </c>
      <c r="HQ2" t="e">
        <f>AND('Strategic Summary'!#REF!,"AAAAABPrn+A=")</f>
        <v>#REF!</v>
      </c>
      <c r="HR2" t="e">
        <f>AND('Strategic Summary'!#REF!,"AAAAABPrn+E=")</f>
        <v>#REF!</v>
      </c>
      <c r="HS2" t="e">
        <f>AND('Strategic Summary'!#REF!,"AAAAABPrn+I=")</f>
        <v>#REF!</v>
      </c>
      <c r="HT2" t="e">
        <f>AND('Strategic Summary'!#REF!,"AAAAABPrn+M=")</f>
        <v>#REF!</v>
      </c>
      <c r="HU2" t="e">
        <f>AND('Strategic Summary'!#REF!,"AAAAABPrn+Q=")</f>
        <v>#REF!</v>
      </c>
      <c r="HV2" t="e">
        <f>AND('Strategic Summary'!#REF!,"AAAAABPrn+U=")</f>
        <v>#REF!</v>
      </c>
      <c r="HW2" t="e">
        <f>AND('Strategic Summary'!#REF!,"AAAAABPrn+Y=")</f>
        <v>#REF!</v>
      </c>
      <c r="HX2" t="e">
        <f>AND('Strategic Summary'!#REF!,"AAAAABPrn+c=")</f>
        <v>#REF!</v>
      </c>
      <c r="HY2" t="e">
        <f>AND('Strategic Summary'!#REF!,"AAAAABPrn+g=")</f>
        <v>#REF!</v>
      </c>
      <c r="HZ2" t="e">
        <f>AND('Strategic Summary'!#REF!,"AAAAABPrn+k=")</f>
        <v>#REF!</v>
      </c>
      <c r="IA2" t="e">
        <f>AND('Strategic Summary'!#REF!,"AAAAABPrn+o=")</f>
        <v>#REF!</v>
      </c>
      <c r="IB2" t="e">
        <f>AND('Strategic Summary'!#REF!,"AAAAABPrn+s=")</f>
        <v>#REF!</v>
      </c>
      <c r="IC2" t="e">
        <f>AND('Strategic Summary'!#REF!,"AAAAABPrn+w=")</f>
        <v>#REF!</v>
      </c>
      <c r="ID2" t="e">
        <f>AND('Strategic Summary'!#REF!,"AAAAABPrn+0=")</f>
        <v>#REF!</v>
      </c>
      <c r="IE2" t="e">
        <f>IF('Strategic Summary'!#REF!,"AAAAABPrn+4=",0)</f>
        <v>#REF!</v>
      </c>
      <c r="IF2" t="e">
        <f>AND('Strategic Summary'!#REF!,"AAAAABPrn+8=")</f>
        <v>#REF!</v>
      </c>
      <c r="IG2" t="e">
        <f>AND('Strategic Summary'!#REF!,"AAAAABPrn/A=")</f>
        <v>#REF!</v>
      </c>
      <c r="IH2" t="e">
        <f>AND('Strategic Summary'!#REF!,"AAAAABPrn/E=")</f>
        <v>#REF!</v>
      </c>
      <c r="II2" t="e">
        <f>AND('Strategic Summary'!#REF!,"AAAAABPrn/I=")</f>
        <v>#REF!</v>
      </c>
      <c r="IJ2" t="e">
        <f>AND('Strategic Summary'!#REF!,"AAAAABPrn/M=")</f>
        <v>#REF!</v>
      </c>
      <c r="IK2" t="e">
        <f>AND('Strategic Summary'!#REF!,"AAAAABPrn/Q=")</f>
        <v>#REF!</v>
      </c>
      <c r="IL2" t="e">
        <f>AND('Strategic Summary'!#REF!,"AAAAABPrn/U=")</f>
        <v>#REF!</v>
      </c>
      <c r="IM2" t="e">
        <f>AND('Strategic Summary'!#REF!,"AAAAABPrn/Y=")</f>
        <v>#REF!</v>
      </c>
      <c r="IN2" t="e">
        <f>AND('Strategic Summary'!#REF!,"AAAAABPrn/c=")</f>
        <v>#REF!</v>
      </c>
      <c r="IO2" t="e">
        <f>AND('Strategic Summary'!#REF!,"AAAAABPrn/g=")</f>
        <v>#REF!</v>
      </c>
      <c r="IP2" t="e">
        <f>AND('Strategic Summary'!#REF!,"AAAAABPrn/k=")</f>
        <v>#REF!</v>
      </c>
      <c r="IQ2" t="e">
        <f>AND('Strategic Summary'!#REF!,"AAAAABPrn/o=")</f>
        <v>#REF!</v>
      </c>
      <c r="IR2" t="e">
        <f>AND('Strategic Summary'!#REF!,"AAAAABPrn/s=")</f>
        <v>#REF!</v>
      </c>
      <c r="IS2" t="e">
        <f>AND('Strategic Summary'!#REF!,"AAAAABPrn/w=")</f>
        <v>#REF!</v>
      </c>
      <c r="IT2" t="e">
        <f>AND('Strategic Summary'!#REF!,"AAAAABPrn/0=")</f>
        <v>#REF!</v>
      </c>
      <c r="IU2" t="e">
        <f>AND('Strategic Summary'!#REF!,"AAAAABPrn/4=")</f>
        <v>#REF!</v>
      </c>
      <c r="IV2" t="e">
        <f>AND('Strategic Summary'!#REF!,"AAAAABPrn/8=")</f>
        <v>#REF!</v>
      </c>
    </row>
    <row r="3" spans="1:256" ht="12.75" customHeight="1" x14ac:dyDescent="0.2">
      <c r="A3" t="e">
        <f>AND('Strategic Summary'!#REF!,"AAAAACsktwA=")</f>
        <v>#REF!</v>
      </c>
      <c r="B3" t="e">
        <f>IF('Strategic Summary'!#REF!,"AAAAACsktwE=",0)</f>
        <v>#REF!</v>
      </c>
      <c r="C3" t="e">
        <f>AND('Strategic Summary'!#REF!,"AAAAACsktwI=")</f>
        <v>#REF!</v>
      </c>
      <c r="D3" t="e">
        <f>AND('Strategic Summary'!#REF!,"AAAAACsktwM=")</f>
        <v>#REF!</v>
      </c>
      <c r="E3" t="e">
        <f>AND('Strategic Summary'!#REF!,"AAAAACsktwQ=")</f>
        <v>#REF!</v>
      </c>
      <c r="F3" t="e">
        <f>AND('Strategic Summary'!#REF!,"AAAAACsktwU=")</f>
        <v>#REF!</v>
      </c>
      <c r="G3" t="e">
        <f>AND('Strategic Summary'!#REF!,"AAAAACsktwY=")</f>
        <v>#REF!</v>
      </c>
      <c r="H3" t="e">
        <f>AND('Strategic Summary'!#REF!,"AAAAACsktwc=")</f>
        <v>#REF!</v>
      </c>
      <c r="I3" t="e">
        <f>AND('Strategic Summary'!#REF!,"AAAAACsktwg=")</f>
        <v>#REF!</v>
      </c>
      <c r="J3" t="e">
        <f>AND('Strategic Summary'!#REF!,"AAAAACsktwk=")</f>
        <v>#REF!</v>
      </c>
      <c r="K3" t="e">
        <f>AND('Strategic Summary'!#REF!,"AAAAACsktwo=")</f>
        <v>#REF!</v>
      </c>
      <c r="L3" t="e">
        <f>AND('Strategic Summary'!#REF!,"AAAAACsktws=")</f>
        <v>#REF!</v>
      </c>
      <c r="M3" t="e">
        <f>AND('Strategic Summary'!#REF!,"AAAAACsktww=")</f>
        <v>#REF!</v>
      </c>
      <c r="N3" t="e">
        <f>AND('Strategic Summary'!#REF!,"AAAAACsktw0=")</f>
        <v>#REF!</v>
      </c>
      <c r="O3" t="e">
        <f>AND('Strategic Summary'!#REF!,"AAAAACsktw4=")</f>
        <v>#REF!</v>
      </c>
      <c r="P3" t="e">
        <f>AND('Strategic Summary'!#REF!,"AAAAACsktw8=")</f>
        <v>#REF!</v>
      </c>
      <c r="Q3" t="e">
        <f>AND('Strategic Summary'!#REF!,"AAAAACsktxA=")</f>
        <v>#REF!</v>
      </c>
      <c r="R3" t="e">
        <f>AND('Strategic Summary'!#REF!,"AAAAACsktxE=")</f>
        <v>#REF!</v>
      </c>
      <c r="S3" t="e">
        <f>AND('Strategic Summary'!#REF!,"AAAAACsktxI=")</f>
        <v>#REF!</v>
      </c>
      <c r="T3" t="e">
        <f>AND('Strategic Summary'!#REF!,"AAAAACsktxM=")</f>
        <v>#REF!</v>
      </c>
      <c r="U3" t="e">
        <f>IF('Strategic Summary'!#REF!,"AAAAACsktxQ=",0)</f>
        <v>#REF!</v>
      </c>
      <c r="V3" t="e">
        <f>AND('Strategic Summary'!#REF!,"AAAAACsktxU=")</f>
        <v>#REF!</v>
      </c>
      <c r="W3" t="e">
        <f>AND('Strategic Summary'!#REF!,"AAAAACsktxY=")</f>
        <v>#REF!</v>
      </c>
      <c r="X3" t="e">
        <f>AND('Strategic Summary'!#REF!,"AAAAACsktxc=")</f>
        <v>#REF!</v>
      </c>
      <c r="Y3" t="e">
        <f>AND('Strategic Summary'!#REF!,"AAAAACsktxg=")</f>
        <v>#REF!</v>
      </c>
      <c r="Z3" t="e">
        <f>AND('Strategic Summary'!#REF!,"AAAAACsktxk=")</f>
        <v>#REF!</v>
      </c>
      <c r="AA3" t="e">
        <f>AND('Strategic Summary'!#REF!,"AAAAACsktxo=")</f>
        <v>#REF!</v>
      </c>
      <c r="AB3" t="e">
        <f>AND('Strategic Summary'!#REF!,"AAAAACsktxs=")</f>
        <v>#REF!</v>
      </c>
      <c r="AC3" t="e">
        <f>AND('Strategic Summary'!#REF!,"AAAAACsktxw=")</f>
        <v>#REF!</v>
      </c>
      <c r="AD3" t="e">
        <f>AND('Strategic Summary'!#REF!,"AAAAACsktx0=")</f>
        <v>#REF!</v>
      </c>
      <c r="AE3" t="e">
        <f>AND('Strategic Summary'!#REF!,"AAAAACsktx4=")</f>
        <v>#REF!</v>
      </c>
      <c r="AF3" t="e">
        <f>AND('Strategic Summary'!#REF!,"AAAAACsktx8=")</f>
        <v>#REF!</v>
      </c>
      <c r="AG3" t="e">
        <f>AND('Strategic Summary'!#REF!,"AAAAACsktyA=")</f>
        <v>#REF!</v>
      </c>
      <c r="AH3" t="e">
        <f>AND('Strategic Summary'!#REF!,"AAAAACsktyE=")</f>
        <v>#REF!</v>
      </c>
      <c r="AI3" t="e">
        <f>AND('Strategic Summary'!#REF!,"AAAAACsktyI=")</f>
        <v>#REF!</v>
      </c>
      <c r="AJ3" t="e">
        <f>AND('Strategic Summary'!#REF!,"AAAAACsktyM=")</f>
        <v>#REF!</v>
      </c>
      <c r="AK3" t="e">
        <f>AND('Strategic Summary'!#REF!,"AAAAACsktyQ=")</f>
        <v>#REF!</v>
      </c>
      <c r="AL3" t="e">
        <f>AND('Strategic Summary'!#REF!,"AAAAACsktyU=")</f>
        <v>#REF!</v>
      </c>
      <c r="AM3" t="e">
        <f>AND('Strategic Summary'!#REF!,"AAAAACsktyY=")</f>
        <v>#REF!</v>
      </c>
      <c r="AN3" t="e">
        <f>IF('Strategic Summary'!#REF!,"AAAAACsktyc=",0)</f>
        <v>#REF!</v>
      </c>
      <c r="AO3" t="e">
        <f>AND('Strategic Summary'!#REF!,"AAAAACsktyg=")</f>
        <v>#REF!</v>
      </c>
      <c r="AP3" t="e">
        <f>AND('Strategic Summary'!#REF!,"AAAAACsktyk=")</f>
        <v>#REF!</v>
      </c>
      <c r="AQ3" t="e">
        <f>AND('Strategic Summary'!#REF!,"AAAAACsktyo=")</f>
        <v>#REF!</v>
      </c>
      <c r="AR3" t="e">
        <f>AND('Strategic Summary'!#REF!,"AAAAACsktys=")</f>
        <v>#REF!</v>
      </c>
      <c r="AS3" t="e">
        <f>AND('Strategic Summary'!#REF!,"AAAAACsktyw=")</f>
        <v>#REF!</v>
      </c>
      <c r="AT3" t="e">
        <f>AND('Strategic Summary'!#REF!,"AAAAACskty0=")</f>
        <v>#REF!</v>
      </c>
      <c r="AU3" t="e">
        <f>AND('Strategic Summary'!#REF!,"AAAAACskty4=")</f>
        <v>#REF!</v>
      </c>
      <c r="AV3" t="e">
        <f>AND('Strategic Summary'!#REF!,"AAAAACskty8=")</f>
        <v>#REF!</v>
      </c>
      <c r="AW3" t="e">
        <f>AND('Strategic Summary'!#REF!,"AAAAACsktzA=")</f>
        <v>#REF!</v>
      </c>
      <c r="AX3" t="e">
        <f>AND('Strategic Summary'!#REF!,"AAAAACsktzE=")</f>
        <v>#REF!</v>
      </c>
      <c r="AY3" t="e">
        <f>AND('Strategic Summary'!#REF!,"AAAAACsktzI=")</f>
        <v>#REF!</v>
      </c>
      <c r="AZ3" t="e">
        <f>AND('Strategic Summary'!#REF!,"AAAAACsktzM=")</f>
        <v>#REF!</v>
      </c>
      <c r="BA3" t="e">
        <f>AND('Strategic Summary'!#REF!,"AAAAACsktzQ=")</f>
        <v>#REF!</v>
      </c>
      <c r="BB3" t="e">
        <f>AND('Strategic Summary'!#REF!,"AAAAACsktzU=")</f>
        <v>#REF!</v>
      </c>
      <c r="BC3" t="e">
        <f>AND('Strategic Summary'!#REF!,"AAAAACsktzY=")</f>
        <v>#REF!</v>
      </c>
      <c r="BD3" t="e">
        <f>AND('Strategic Summary'!#REF!,"AAAAACsktzc=")</f>
        <v>#REF!</v>
      </c>
      <c r="BE3" t="e">
        <f>AND('Strategic Summary'!#REF!,"AAAAACsktzg=")</f>
        <v>#REF!</v>
      </c>
      <c r="BF3" t="e">
        <f>AND('Strategic Summary'!#REF!,"AAAAACsktzk=")</f>
        <v>#REF!</v>
      </c>
      <c r="BG3" t="e">
        <f>IF('Strategic Summary'!#REF!,"AAAAACsktzo=",0)</f>
        <v>#REF!</v>
      </c>
      <c r="BH3" t="e">
        <f>AND('Strategic Summary'!#REF!,"AAAAACsktzs=")</f>
        <v>#REF!</v>
      </c>
      <c r="BI3" t="e">
        <f>AND('Strategic Summary'!#REF!,"AAAAACsktzw=")</f>
        <v>#REF!</v>
      </c>
      <c r="BJ3" t="e">
        <f>AND('Strategic Summary'!#REF!,"AAAAACsktz0=")</f>
        <v>#REF!</v>
      </c>
      <c r="BK3" t="e">
        <f>AND('Strategic Summary'!#REF!,"AAAAACsktz4=")</f>
        <v>#REF!</v>
      </c>
      <c r="BL3" t="e">
        <f>AND('Strategic Summary'!#REF!,"AAAAACsktz8=")</f>
        <v>#REF!</v>
      </c>
      <c r="BM3" t="e">
        <f>AND('Strategic Summary'!#REF!,"AAAAACskt0A=")</f>
        <v>#REF!</v>
      </c>
      <c r="BN3" t="e">
        <f>AND('Strategic Summary'!#REF!,"AAAAACskt0E=")</f>
        <v>#REF!</v>
      </c>
      <c r="BO3" t="e">
        <f>AND('Strategic Summary'!#REF!,"AAAAACskt0I=")</f>
        <v>#REF!</v>
      </c>
      <c r="BP3" t="e">
        <f>AND('Strategic Summary'!#REF!,"AAAAACskt0M=")</f>
        <v>#REF!</v>
      </c>
      <c r="BQ3" t="e">
        <f>AND('Strategic Summary'!#REF!,"AAAAACskt0Q=")</f>
        <v>#REF!</v>
      </c>
      <c r="BR3" t="e">
        <f>AND('Strategic Summary'!#REF!,"AAAAACskt0U=")</f>
        <v>#REF!</v>
      </c>
      <c r="BS3" t="e">
        <f>AND('Strategic Summary'!#REF!,"AAAAACskt0Y=")</f>
        <v>#REF!</v>
      </c>
      <c r="BT3" t="e">
        <f>AND('Strategic Summary'!#REF!,"AAAAACskt0c=")</f>
        <v>#REF!</v>
      </c>
      <c r="BU3" t="e">
        <f>AND('Strategic Summary'!#REF!,"AAAAACskt0g=")</f>
        <v>#REF!</v>
      </c>
      <c r="BV3" t="e">
        <f>AND('Strategic Summary'!#REF!,"AAAAACskt0k=")</f>
        <v>#REF!</v>
      </c>
      <c r="BW3" t="e">
        <f>AND('Strategic Summary'!#REF!,"AAAAACskt0o=")</f>
        <v>#REF!</v>
      </c>
      <c r="BX3" t="e">
        <f>AND('Strategic Summary'!#REF!,"AAAAACskt0s=")</f>
        <v>#REF!</v>
      </c>
      <c r="BY3" t="e">
        <f>AND('Strategic Summary'!#REF!,"AAAAACskt0w=")</f>
        <v>#REF!</v>
      </c>
      <c r="BZ3" t="e">
        <f>IF('Strategic Summary'!#REF!,"AAAAACskt00=",0)</f>
        <v>#REF!</v>
      </c>
      <c r="CA3" t="e">
        <f>AND('Strategic Summary'!#REF!,"AAAAACskt04=")</f>
        <v>#REF!</v>
      </c>
      <c r="CB3" t="e">
        <f>AND('Strategic Summary'!#REF!,"AAAAACskt08=")</f>
        <v>#REF!</v>
      </c>
      <c r="CC3" t="e">
        <f>AND('Strategic Summary'!#REF!,"AAAAACskt1A=")</f>
        <v>#REF!</v>
      </c>
      <c r="CD3" t="e">
        <f>AND('Strategic Summary'!#REF!,"AAAAACskt1E=")</f>
        <v>#REF!</v>
      </c>
      <c r="CE3" t="e">
        <f>AND('Strategic Summary'!#REF!,"AAAAACskt1I=")</f>
        <v>#REF!</v>
      </c>
      <c r="CF3" t="e">
        <f>AND('Strategic Summary'!#REF!,"AAAAACskt1M=")</f>
        <v>#REF!</v>
      </c>
      <c r="CG3" t="e">
        <f>AND('Strategic Summary'!#REF!,"AAAAACskt1Q=")</f>
        <v>#REF!</v>
      </c>
      <c r="CH3" t="e">
        <f>AND('Strategic Summary'!#REF!,"AAAAACskt1U=")</f>
        <v>#REF!</v>
      </c>
      <c r="CI3" t="e">
        <f>AND('Strategic Summary'!#REF!,"AAAAACskt1Y=")</f>
        <v>#REF!</v>
      </c>
      <c r="CJ3" t="e">
        <f>AND('Strategic Summary'!#REF!,"AAAAACskt1c=")</f>
        <v>#REF!</v>
      </c>
      <c r="CK3" t="e">
        <f>AND('Strategic Summary'!#REF!,"AAAAACskt1g=")</f>
        <v>#REF!</v>
      </c>
      <c r="CL3" t="e">
        <f>AND('Strategic Summary'!#REF!,"AAAAACskt1k=")</f>
        <v>#REF!</v>
      </c>
      <c r="CM3" t="e">
        <f>AND('Strategic Summary'!#REF!,"AAAAACskt1o=")</f>
        <v>#REF!</v>
      </c>
      <c r="CN3" t="e">
        <f>AND('Strategic Summary'!#REF!,"AAAAACskt1s=")</f>
        <v>#REF!</v>
      </c>
      <c r="CO3" t="e">
        <f>AND('Strategic Summary'!#REF!,"AAAAACskt1w=")</f>
        <v>#REF!</v>
      </c>
      <c r="CP3" t="e">
        <f>AND('Strategic Summary'!#REF!,"AAAAACskt10=")</f>
        <v>#REF!</v>
      </c>
      <c r="CQ3" t="e">
        <f>AND('Strategic Summary'!#REF!,"AAAAACskt14=")</f>
        <v>#REF!</v>
      </c>
      <c r="CR3" t="e">
        <f>AND('Strategic Summary'!#REF!,"AAAAACskt18=")</f>
        <v>#REF!</v>
      </c>
      <c r="CS3">
        <f>IF('Strategic Summary'!$A39:$IV39,"AAAAACskt2A=",0)</f>
        <v>0</v>
      </c>
      <c r="CT3" t="e">
        <f>AND('Strategic Summary'!A39,"AAAAACskt2E=")</f>
        <v>#VALUE!</v>
      </c>
      <c r="CU3" t="e">
        <f>AND('Strategic Summary'!B39,"AAAAACskt2I=")</f>
        <v>#VALUE!</v>
      </c>
      <c r="CV3" t="e">
        <f>AND('Strategic Summary'!C39,"AAAAACskt2M=")</f>
        <v>#VALUE!</v>
      </c>
      <c r="CW3" t="e">
        <f>AND('Strategic Summary'!D39,"AAAAACskt2Q=")</f>
        <v>#VALUE!</v>
      </c>
      <c r="CX3" t="e">
        <f>AND('Strategic Summary'!E39,"AAAAACskt2U=")</f>
        <v>#VALUE!</v>
      </c>
      <c r="CY3" t="e">
        <f>AND('Strategic Summary'!F39,"AAAAACskt2Y=")</f>
        <v>#VALUE!</v>
      </c>
      <c r="CZ3" t="e">
        <f>AND('Strategic Summary'!G39,"AAAAACskt2c=")</f>
        <v>#VALUE!</v>
      </c>
      <c r="DA3" t="e">
        <f>AND('Strategic Summary'!H39,"AAAAACskt2g=")</f>
        <v>#VALUE!</v>
      </c>
      <c r="DB3" t="e">
        <f>AND('Strategic Summary'!I39,"AAAAACskt2k=")</f>
        <v>#VALUE!</v>
      </c>
      <c r="DC3" t="e">
        <f>AND('Strategic Summary'!J39,"AAAAACskt2o=")</f>
        <v>#VALUE!</v>
      </c>
      <c r="DD3" t="e">
        <f>AND('Strategic Summary'!K39,"AAAAACskt2s=")</f>
        <v>#VALUE!</v>
      </c>
      <c r="DE3" t="e">
        <f>AND('Strategic Summary'!L39,"AAAAACskt2w=")</f>
        <v>#VALUE!</v>
      </c>
      <c r="DF3" t="e">
        <f>AND('Strategic Summary'!M39,"AAAAACskt20=")</f>
        <v>#VALUE!</v>
      </c>
      <c r="DG3" t="e">
        <f>AND('Strategic Summary'!N39,"AAAAACskt24=")</f>
        <v>#VALUE!</v>
      </c>
      <c r="DH3" t="e">
        <f>AND('Strategic Summary'!O39,"AAAAACskt28=")</f>
        <v>#VALUE!</v>
      </c>
      <c r="DI3" t="e">
        <f>AND('Strategic Summary'!P39,"AAAAACskt3A=")</f>
        <v>#VALUE!</v>
      </c>
      <c r="DJ3" t="e">
        <f>AND('Strategic Summary'!Q39,"AAAAACskt3E=")</f>
        <v>#VALUE!</v>
      </c>
      <c r="DK3" t="e">
        <f>AND('Strategic Summary'!R39,"AAAAACskt3I=")</f>
        <v>#VALUE!</v>
      </c>
      <c r="DL3">
        <f>IF('Strategic Summary'!$A40:$IV40,"AAAAACskt3M=",0)</f>
        <v>0</v>
      </c>
      <c r="DM3" t="e">
        <f>AND('Strategic Summary'!A40,"AAAAACskt3Q=")</f>
        <v>#VALUE!</v>
      </c>
      <c r="DN3" t="e">
        <f>AND('Strategic Summary'!B40,"AAAAACskt3U=")</f>
        <v>#VALUE!</v>
      </c>
      <c r="DO3" t="e">
        <f>AND('Strategic Summary'!C40,"AAAAACskt3Y=")</f>
        <v>#VALUE!</v>
      </c>
      <c r="DP3" t="e">
        <f>AND('Strategic Summary'!D40,"AAAAACskt3c=")</f>
        <v>#VALUE!</v>
      </c>
      <c r="DQ3" t="e">
        <f>AND('Strategic Summary'!E40,"AAAAACskt3g=")</f>
        <v>#VALUE!</v>
      </c>
      <c r="DR3" t="e">
        <f>AND('Strategic Summary'!F40,"AAAAACskt3k=")</f>
        <v>#VALUE!</v>
      </c>
      <c r="DS3" t="e">
        <f>AND('Strategic Summary'!G40,"AAAAACskt3o=")</f>
        <v>#VALUE!</v>
      </c>
      <c r="DT3" t="e">
        <f>AND('Strategic Summary'!H40,"AAAAACskt3s=")</f>
        <v>#VALUE!</v>
      </c>
      <c r="DU3" t="e">
        <f>AND('Strategic Summary'!I40,"AAAAACskt3w=")</f>
        <v>#VALUE!</v>
      </c>
      <c r="DV3" t="e">
        <f>AND('Strategic Summary'!J40,"AAAAACskt30=")</f>
        <v>#VALUE!</v>
      </c>
      <c r="DW3" t="e">
        <f>AND('Strategic Summary'!K40,"AAAAACskt34=")</f>
        <v>#VALUE!</v>
      </c>
      <c r="DX3" t="e">
        <f>AND('Strategic Summary'!L40,"AAAAACskt38=")</f>
        <v>#VALUE!</v>
      </c>
      <c r="DY3" t="e">
        <f>AND('Strategic Summary'!M40,"AAAAACskt4A=")</f>
        <v>#VALUE!</v>
      </c>
      <c r="DZ3" t="e">
        <f>AND('Strategic Summary'!N40,"AAAAACskt4E=")</f>
        <v>#VALUE!</v>
      </c>
      <c r="EA3" t="e">
        <f>AND('Strategic Summary'!O40,"AAAAACskt4I=")</f>
        <v>#VALUE!</v>
      </c>
      <c r="EB3" t="e">
        <f>AND('Strategic Summary'!P40,"AAAAACskt4M=")</f>
        <v>#VALUE!</v>
      </c>
      <c r="EC3" t="e">
        <f>AND('Strategic Summary'!Q40,"AAAAACskt4Q=")</f>
        <v>#VALUE!</v>
      </c>
      <c r="ED3" t="e">
        <f>AND('Strategic Summary'!R40,"AAAAACskt4U=")</f>
        <v>#VALUE!</v>
      </c>
      <c r="EE3" t="e">
        <f>IF('Strategic Summary'!#REF!,"AAAAACskt4Y=",0)</f>
        <v>#REF!</v>
      </c>
      <c r="EF3" t="e">
        <f>AND('Strategic Summary'!#REF!,"AAAAACskt4c=")</f>
        <v>#REF!</v>
      </c>
      <c r="EG3" t="e">
        <f>AND('Strategic Summary'!#REF!,"AAAAACskt4g=")</f>
        <v>#REF!</v>
      </c>
      <c r="EH3" t="e">
        <f>AND('Strategic Summary'!#REF!,"AAAAACskt4k=")</f>
        <v>#REF!</v>
      </c>
      <c r="EI3" t="e">
        <f>AND('Strategic Summary'!#REF!,"AAAAACskt4o=")</f>
        <v>#REF!</v>
      </c>
      <c r="EJ3" t="e">
        <f>AND('Strategic Summary'!#REF!,"AAAAACskt4s=")</f>
        <v>#REF!</v>
      </c>
      <c r="EK3" t="e">
        <f>AND('Strategic Summary'!#REF!,"AAAAACskt4w=")</f>
        <v>#REF!</v>
      </c>
      <c r="EL3" t="e">
        <f>AND('Strategic Summary'!#REF!,"AAAAACskt40=")</f>
        <v>#REF!</v>
      </c>
      <c r="EM3" t="e">
        <f>AND('Strategic Summary'!#REF!,"AAAAACskt44=")</f>
        <v>#REF!</v>
      </c>
      <c r="EN3" t="e">
        <f>AND('Strategic Summary'!#REF!,"AAAAACskt48=")</f>
        <v>#REF!</v>
      </c>
      <c r="EO3" t="e">
        <f>AND('Strategic Summary'!#REF!,"AAAAACskt5A=")</f>
        <v>#REF!</v>
      </c>
      <c r="EP3" t="e">
        <f>AND('Strategic Summary'!#REF!,"AAAAACskt5E=")</f>
        <v>#REF!</v>
      </c>
      <c r="EQ3" t="e">
        <f>AND('Strategic Summary'!#REF!,"AAAAACskt5I=")</f>
        <v>#REF!</v>
      </c>
      <c r="ER3" t="e">
        <f>AND('Strategic Summary'!#REF!,"AAAAACskt5M=")</f>
        <v>#REF!</v>
      </c>
      <c r="ES3" t="e">
        <f>AND('Strategic Summary'!#REF!,"AAAAACskt5Q=")</f>
        <v>#REF!</v>
      </c>
      <c r="ET3" t="e">
        <f>AND('Strategic Summary'!#REF!,"AAAAACskt5U=")</f>
        <v>#REF!</v>
      </c>
      <c r="EU3" t="e">
        <f>AND('Strategic Summary'!#REF!,"AAAAACskt5Y=")</f>
        <v>#REF!</v>
      </c>
      <c r="EV3" t="e">
        <f>AND('Strategic Summary'!#REF!,"AAAAACskt5c=")</f>
        <v>#REF!</v>
      </c>
      <c r="EW3" t="e">
        <f>AND('Strategic Summary'!#REF!,"AAAAACskt5g=")</f>
        <v>#REF!</v>
      </c>
      <c r="EX3" t="e">
        <f>IF('Strategic Summary'!#REF!,"AAAAACskt5k=",0)</f>
        <v>#REF!</v>
      </c>
      <c r="EY3" t="e">
        <f>AND('Strategic Summary'!#REF!,"AAAAACskt5o=")</f>
        <v>#REF!</v>
      </c>
      <c r="EZ3" t="e">
        <f>AND('Strategic Summary'!#REF!,"AAAAACskt5s=")</f>
        <v>#REF!</v>
      </c>
      <c r="FA3" t="e">
        <f>AND('Strategic Summary'!#REF!,"AAAAACskt5w=")</f>
        <v>#REF!</v>
      </c>
      <c r="FB3" t="e">
        <f>AND('Strategic Summary'!#REF!,"AAAAACskt50=")</f>
        <v>#REF!</v>
      </c>
      <c r="FC3" t="e">
        <f>AND('Strategic Summary'!#REF!,"AAAAACskt54=")</f>
        <v>#REF!</v>
      </c>
      <c r="FD3" t="e">
        <f>AND('Strategic Summary'!#REF!,"AAAAACskt58=")</f>
        <v>#REF!</v>
      </c>
      <c r="FE3" t="e">
        <f>AND('Strategic Summary'!#REF!,"AAAAACskt6A=")</f>
        <v>#REF!</v>
      </c>
      <c r="FF3" t="e">
        <f>AND('Strategic Summary'!#REF!,"AAAAACskt6E=")</f>
        <v>#REF!</v>
      </c>
      <c r="FG3" t="e">
        <f>AND('Strategic Summary'!#REF!,"AAAAACskt6I=")</f>
        <v>#REF!</v>
      </c>
      <c r="FH3" t="e">
        <f>AND('Strategic Summary'!#REF!,"AAAAACskt6M=")</f>
        <v>#REF!</v>
      </c>
      <c r="FI3" t="e">
        <f>AND('Strategic Summary'!#REF!,"AAAAACskt6Q=")</f>
        <v>#REF!</v>
      </c>
      <c r="FJ3" t="e">
        <f>AND('Strategic Summary'!#REF!,"AAAAACskt6U=")</f>
        <v>#REF!</v>
      </c>
      <c r="FK3" t="e">
        <f>AND('Strategic Summary'!#REF!,"AAAAACskt6Y=")</f>
        <v>#REF!</v>
      </c>
      <c r="FL3" t="e">
        <f>AND('Strategic Summary'!#REF!,"AAAAACskt6c=")</f>
        <v>#REF!</v>
      </c>
      <c r="FM3" t="e">
        <f>AND('Strategic Summary'!#REF!,"AAAAACskt6g=")</f>
        <v>#REF!</v>
      </c>
      <c r="FN3" t="e">
        <f>AND('Strategic Summary'!#REF!,"AAAAACskt6k=")</f>
        <v>#REF!</v>
      </c>
      <c r="FO3" t="e">
        <f>AND('Strategic Summary'!#REF!,"AAAAACskt6o=")</f>
        <v>#REF!</v>
      </c>
      <c r="FP3" t="e">
        <f>AND('Strategic Summary'!#REF!,"AAAAACskt6s=")</f>
        <v>#REF!</v>
      </c>
      <c r="FQ3" t="e">
        <f>IF('Strategic Summary'!#REF!,"AAAAACskt6w=",0)</f>
        <v>#REF!</v>
      </c>
      <c r="FR3" t="e">
        <f>AND('Strategic Summary'!#REF!,"AAAAACskt60=")</f>
        <v>#REF!</v>
      </c>
      <c r="FS3" t="e">
        <f>AND('Strategic Summary'!#REF!,"AAAAACskt64=")</f>
        <v>#REF!</v>
      </c>
      <c r="FT3" t="e">
        <f>AND('Strategic Summary'!#REF!,"AAAAACskt68=")</f>
        <v>#REF!</v>
      </c>
      <c r="FU3" t="e">
        <f>AND('Strategic Summary'!#REF!,"AAAAACskt7A=")</f>
        <v>#REF!</v>
      </c>
      <c r="FV3" t="e">
        <f>AND('Strategic Summary'!#REF!,"AAAAACskt7E=")</f>
        <v>#REF!</v>
      </c>
      <c r="FW3" t="e">
        <f>AND('Strategic Summary'!#REF!,"AAAAACskt7I=")</f>
        <v>#REF!</v>
      </c>
      <c r="FX3" t="e">
        <f>AND('Strategic Summary'!#REF!,"AAAAACskt7M=")</f>
        <v>#REF!</v>
      </c>
      <c r="FY3" t="e">
        <f>AND('Strategic Summary'!#REF!,"AAAAACskt7Q=")</f>
        <v>#REF!</v>
      </c>
      <c r="FZ3" t="e">
        <f>AND('Strategic Summary'!#REF!,"AAAAACskt7U=")</f>
        <v>#REF!</v>
      </c>
      <c r="GA3" t="e">
        <f>AND('Strategic Summary'!#REF!,"AAAAACskt7Y=")</f>
        <v>#REF!</v>
      </c>
      <c r="GB3" t="e">
        <f>AND('Strategic Summary'!#REF!,"AAAAACskt7c=")</f>
        <v>#REF!</v>
      </c>
      <c r="GC3" t="e">
        <f>AND('Strategic Summary'!#REF!,"AAAAACskt7g=")</f>
        <v>#REF!</v>
      </c>
      <c r="GD3" t="e">
        <f>AND('Strategic Summary'!#REF!,"AAAAACskt7k=")</f>
        <v>#REF!</v>
      </c>
      <c r="GE3" t="e">
        <f>AND('Strategic Summary'!#REF!,"AAAAACskt7o=")</f>
        <v>#REF!</v>
      </c>
      <c r="GF3" t="e">
        <f>AND('Strategic Summary'!#REF!,"AAAAACskt7s=")</f>
        <v>#REF!</v>
      </c>
      <c r="GG3" t="e">
        <f>AND('Strategic Summary'!#REF!,"AAAAACskt7w=")</f>
        <v>#REF!</v>
      </c>
      <c r="GH3" t="e">
        <f>AND('Strategic Summary'!#REF!,"AAAAACskt70=")</f>
        <v>#REF!</v>
      </c>
      <c r="GI3" t="e">
        <f>AND('Strategic Summary'!#REF!,"AAAAACskt74=")</f>
        <v>#REF!</v>
      </c>
      <c r="GJ3" t="e">
        <f>IF('Strategic Summary'!#REF!,"AAAAACskt78=",0)</f>
        <v>#REF!</v>
      </c>
      <c r="GK3" t="e">
        <f>AND('Strategic Summary'!#REF!,"AAAAACskt8A=")</f>
        <v>#REF!</v>
      </c>
      <c r="GL3" t="e">
        <f>AND('Strategic Summary'!#REF!,"AAAAACskt8E=")</f>
        <v>#REF!</v>
      </c>
      <c r="GM3" t="e">
        <f>AND('Strategic Summary'!#REF!,"AAAAACskt8I=")</f>
        <v>#REF!</v>
      </c>
      <c r="GN3" t="e">
        <f>AND('Strategic Summary'!#REF!,"AAAAACskt8M=")</f>
        <v>#REF!</v>
      </c>
      <c r="GO3" t="e">
        <f>AND('Strategic Summary'!#REF!,"AAAAACskt8Q=")</f>
        <v>#REF!</v>
      </c>
      <c r="GP3" t="e">
        <f>AND('Strategic Summary'!#REF!,"AAAAACskt8U=")</f>
        <v>#REF!</v>
      </c>
      <c r="GQ3" t="e">
        <f>AND('Strategic Summary'!#REF!,"AAAAACskt8Y=")</f>
        <v>#REF!</v>
      </c>
      <c r="GR3" t="e">
        <f>AND('Strategic Summary'!#REF!,"AAAAACskt8c=")</f>
        <v>#REF!</v>
      </c>
      <c r="GS3" t="e">
        <f>AND('Strategic Summary'!#REF!,"AAAAACskt8g=")</f>
        <v>#REF!</v>
      </c>
      <c r="GT3" t="e">
        <f>AND('Strategic Summary'!#REF!,"AAAAACskt8k=")</f>
        <v>#REF!</v>
      </c>
      <c r="GU3" t="e">
        <f>AND('Strategic Summary'!#REF!,"AAAAACskt8o=")</f>
        <v>#REF!</v>
      </c>
      <c r="GV3" t="e">
        <f>AND('Strategic Summary'!#REF!,"AAAAACskt8s=")</f>
        <v>#REF!</v>
      </c>
      <c r="GW3" t="e">
        <f>AND('Strategic Summary'!#REF!,"AAAAACskt8w=")</f>
        <v>#REF!</v>
      </c>
      <c r="GX3" t="e">
        <f>AND('Strategic Summary'!#REF!,"AAAAACskt80=")</f>
        <v>#REF!</v>
      </c>
      <c r="GY3" t="e">
        <f>AND('Strategic Summary'!#REF!,"AAAAACskt84=")</f>
        <v>#REF!</v>
      </c>
      <c r="GZ3" t="e">
        <f>AND('Strategic Summary'!#REF!,"AAAAACskt88=")</f>
        <v>#REF!</v>
      </c>
      <c r="HA3" t="e">
        <f>AND('Strategic Summary'!#REF!,"AAAAACskt9A=")</f>
        <v>#REF!</v>
      </c>
      <c r="HB3" t="e">
        <f>AND('Strategic Summary'!#REF!,"AAAAACskt9E=")</f>
        <v>#REF!</v>
      </c>
      <c r="HC3" t="e">
        <f>IF('Strategic Summary'!#REF!,"AAAAACskt9I=",0)</f>
        <v>#REF!</v>
      </c>
      <c r="HD3" t="e">
        <f>AND('Strategic Summary'!#REF!,"AAAAACskt9M=")</f>
        <v>#REF!</v>
      </c>
      <c r="HE3" t="e">
        <f>AND('Strategic Summary'!#REF!,"AAAAACskt9Q=")</f>
        <v>#REF!</v>
      </c>
      <c r="HF3" t="e">
        <f>AND('Strategic Summary'!#REF!,"AAAAACskt9U=")</f>
        <v>#REF!</v>
      </c>
      <c r="HG3" t="e">
        <f>AND('Strategic Summary'!#REF!,"AAAAACskt9Y=")</f>
        <v>#REF!</v>
      </c>
      <c r="HH3" t="e">
        <f>AND('Strategic Summary'!#REF!,"AAAAACskt9c=")</f>
        <v>#REF!</v>
      </c>
      <c r="HI3" t="e">
        <f>AND('Strategic Summary'!#REF!,"AAAAACskt9g=")</f>
        <v>#REF!</v>
      </c>
      <c r="HJ3" t="e">
        <f>AND('Strategic Summary'!#REF!,"AAAAACskt9k=")</f>
        <v>#REF!</v>
      </c>
      <c r="HK3" t="e">
        <f>AND('Strategic Summary'!#REF!,"AAAAACskt9o=")</f>
        <v>#REF!</v>
      </c>
      <c r="HL3" t="e">
        <f>AND('Strategic Summary'!#REF!,"AAAAACskt9s=")</f>
        <v>#REF!</v>
      </c>
      <c r="HM3" t="e">
        <f>AND('Strategic Summary'!#REF!,"AAAAACskt9w=")</f>
        <v>#REF!</v>
      </c>
      <c r="HN3" t="e">
        <f>AND('Strategic Summary'!#REF!,"AAAAACskt90=")</f>
        <v>#REF!</v>
      </c>
      <c r="HO3" t="e">
        <f>AND('Strategic Summary'!#REF!,"AAAAACskt94=")</f>
        <v>#REF!</v>
      </c>
      <c r="HP3" t="e">
        <f>AND('Strategic Summary'!#REF!,"AAAAACskt98=")</f>
        <v>#REF!</v>
      </c>
      <c r="HQ3" t="e">
        <f>AND('Strategic Summary'!#REF!,"AAAAACskt+A=")</f>
        <v>#REF!</v>
      </c>
      <c r="HR3" t="e">
        <f>AND('Strategic Summary'!#REF!,"AAAAACskt+E=")</f>
        <v>#REF!</v>
      </c>
      <c r="HS3" t="e">
        <f>AND('Strategic Summary'!#REF!,"AAAAACskt+I=")</f>
        <v>#REF!</v>
      </c>
      <c r="HT3" t="e">
        <f>AND('Strategic Summary'!#REF!,"AAAAACskt+M=")</f>
        <v>#REF!</v>
      </c>
      <c r="HU3" t="e">
        <f>AND('Strategic Summary'!#REF!,"AAAAACskt+Q=")</f>
        <v>#REF!</v>
      </c>
      <c r="HV3" t="e">
        <f>IF('Strategic Summary'!#REF!,"AAAAACskt+U=",0)</f>
        <v>#REF!</v>
      </c>
      <c r="HW3" t="e">
        <f>AND('Strategic Summary'!#REF!,"AAAAACskt+Y=")</f>
        <v>#REF!</v>
      </c>
      <c r="HX3" t="e">
        <f>AND('Strategic Summary'!#REF!,"AAAAACskt+c=")</f>
        <v>#REF!</v>
      </c>
      <c r="HY3" t="e">
        <f>AND('Strategic Summary'!#REF!,"AAAAACskt+g=")</f>
        <v>#REF!</v>
      </c>
      <c r="HZ3" t="e">
        <f>AND('Strategic Summary'!#REF!,"AAAAACskt+k=")</f>
        <v>#REF!</v>
      </c>
      <c r="IA3" t="e">
        <f>AND('Strategic Summary'!#REF!,"AAAAACskt+o=")</f>
        <v>#REF!</v>
      </c>
      <c r="IB3" t="e">
        <f>AND('Strategic Summary'!#REF!,"AAAAACskt+s=")</f>
        <v>#REF!</v>
      </c>
      <c r="IC3" t="e">
        <f>AND('Strategic Summary'!#REF!,"AAAAACskt+w=")</f>
        <v>#REF!</v>
      </c>
      <c r="ID3" t="e">
        <f>AND('Strategic Summary'!#REF!,"AAAAACskt+0=")</f>
        <v>#REF!</v>
      </c>
      <c r="IE3" t="e">
        <f>AND('Strategic Summary'!#REF!,"AAAAACskt+4=")</f>
        <v>#REF!</v>
      </c>
      <c r="IF3" t="e">
        <f>AND('Strategic Summary'!#REF!,"AAAAACskt+8=")</f>
        <v>#REF!</v>
      </c>
      <c r="IG3" t="e">
        <f>AND('Strategic Summary'!#REF!,"AAAAACskt/A=")</f>
        <v>#REF!</v>
      </c>
      <c r="IH3" t="e">
        <f>AND('Strategic Summary'!#REF!,"AAAAACskt/E=")</f>
        <v>#REF!</v>
      </c>
      <c r="II3" t="e">
        <f>AND('Strategic Summary'!#REF!,"AAAAACskt/I=")</f>
        <v>#REF!</v>
      </c>
      <c r="IJ3" t="e">
        <f>AND('Strategic Summary'!#REF!,"AAAAACskt/M=")</f>
        <v>#REF!</v>
      </c>
      <c r="IK3" t="e">
        <f>AND('Strategic Summary'!#REF!,"AAAAACskt/Q=")</f>
        <v>#REF!</v>
      </c>
      <c r="IL3" t="e">
        <f>AND('Strategic Summary'!#REF!,"AAAAACskt/U=")</f>
        <v>#REF!</v>
      </c>
      <c r="IM3" t="e">
        <f>AND('Strategic Summary'!#REF!,"AAAAACskt/Y=")</f>
        <v>#REF!</v>
      </c>
      <c r="IN3" t="e">
        <f>AND('Strategic Summary'!#REF!,"AAAAACskt/c=")</f>
        <v>#REF!</v>
      </c>
      <c r="IO3" t="e">
        <f>IF('Strategic Summary'!#REF!,"AAAAACskt/g=",0)</f>
        <v>#REF!</v>
      </c>
      <c r="IP3" t="e">
        <f>AND('Strategic Summary'!#REF!,"AAAAACskt/k=")</f>
        <v>#REF!</v>
      </c>
      <c r="IQ3" t="e">
        <f>AND('Strategic Summary'!#REF!,"AAAAACskt/o=")</f>
        <v>#REF!</v>
      </c>
      <c r="IR3" t="e">
        <f>AND('Strategic Summary'!#REF!,"AAAAACskt/s=")</f>
        <v>#REF!</v>
      </c>
      <c r="IS3" t="e">
        <f>AND('Strategic Summary'!#REF!,"AAAAACskt/w=")</f>
        <v>#REF!</v>
      </c>
      <c r="IT3" t="e">
        <f>AND('Strategic Summary'!#REF!,"AAAAACskt/0=")</f>
        <v>#REF!</v>
      </c>
      <c r="IU3" t="e">
        <f>AND('Strategic Summary'!#REF!,"AAAAACskt/4=")</f>
        <v>#REF!</v>
      </c>
      <c r="IV3" t="e">
        <f>AND('Strategic Summary'!#REF!,"AAAAACskt/8=")</f>
        <v>#REF!</v>
      </c>
    </row>
    <row r="4" spans="1:256" ht="12.75" customHeight="1" x14ac:dyDescent="0.2">
      <c r="A4" t="e">
        <f>AND('Strategic Summary'!#REF!,"AAAAAG3v/QA=")</f>
        <v>#REF!</v>
      </c>
      <c r="B4" t="e">
        <f>AND('Strategic Summary'!#REF!,"AAAAAG3v/QE=")</f>
        <v>#REF!</v>
      </c>
      <c r="C4" t="e">
        <f>AND('Strategic Summary'!#REF!,"AAAAAG3v/QI=")</f>
        <v>#REF!</v>
      </c>
      <c r="D4" t="e">
        <f>AND('Strategic Summary'!#REF!,"AAAAAG3v/QM=")</f>
        <v>#REF!</v>
      </c>
      <c r="E4" t="e">
        <f>AND('Strategic Summary'!#REF!,"AAAAAG3v/QQ=")</f>
        <v>#REF!</v>
      </c>
      <c r="F4" t="e">
        <f>AND('Strategic Summary'!#REF!,"AAAAAG3v/QU=")</f>
        <v>#REF!</v>
      </c>
      <c r="G4" t="e">
        <f>AND('Strategic Summary'!#REF!,"AAAAAG3v/QY=")</f>
        <v>#REF!</v>
      </c>
      <c r="H4" t="e">
        <f>AND('Strategic Summary'!#REF!,"AAAAAG3v/Qc=")</f>
        <v>#REF!</v>
      </c>
      <c r="I4" t="e">
        <f>AND('Strategic Summary'!#REF!,"AAAAAG3v/Qg=")</f>
        <v>#REF!</v>
      </c>
      <c r="J4" t="e">
        <f>AND('Strategic Summary'!#REF!,"AAAAAG3v/Qk=")</f>
        <v>#REF!</v>
      </c>
      <c r="K4" t="e">
        <f>AND('Strategic Summary'!#REF!,"AAAAAG3v/Qo=")</f>
        <v>#REF!</v>
      </c>
      <c r="L4" t="e">
        <f>IF('Strategic Summary'!#REF!,"AAAAAG3v/Qs=",0)</f>
        <v>#REF!</v>
      </c>
      <c r="M4" t="e">
        <f>AND('Strategic Summary'!#REF!,"AAAAAG3v/Qw=")</f>
        <v>#REF!</v>
      </c>
      <c r="N4" t="e">
        <f>AND('Strategic Summary'!#REF!,"AAAAAG3v/Q0=")</f>
        <v>#REF!</v>
      </c>
      <c r="O4" t="e">
        <f>AND('Strategic Summary'!#REF!,"AAAAAG3v/Q4=")</f>
        <v>#REF!</v>
      </c>
      <c r="P4" t="e">
        <f>AND('Strategic Summary'!#REF!,"AAAAAG3v/Q8=")</f>
        <v>#REF!</v>
      </c>
      <c r="Q4" t="e">
        <f>AND('Strategic Summary'!#REF!,"AAAAAG3v/RA=")</f>
        <v>#REF!</v>
      </c>
      <c r="R4" t="e">
        <f>AND('Strategic Summary'!#REF!,"AAAAAG3v/RE=")</f>
        <v>#REF!</v>
      </c>
      <c r="S4" t="e">
        <f>AND('Strategic Summary'!#REF!,"AAAAAG3v/RI=")</f>
        <v>#REF!</v>
      </c>
      <c r="T4" t="e">
        <f>AND('Strategic Summary'!#REF!,"AAAAAG3v/RM=")</f>
        <v>#REF!</v>
      </c>
      <c r="U4" t="e">
        <f>AND('Strategic Summary'!#REF!,"AAAAAG3v/RQ=")</f>
        <v>#REF!</v>
      </c>
      <c r="V4" t="e">
        <f>AND('Strategic Summary'!#REF!,"AAAAAG3v/RU=")</f>
        <v>#REF!</v>
      </c>
      <c r="W4" t="e">
        <f>AND('Strategic Summary'!#REF!,"AAAAAG3v/RY=")</f>
        <v>#REF!</v>
      </c>
      <c r="X4" t="e">
        <f>AND('Strategic Summary'!#REF!,"AAAAAG3v/Rc=")</f>
        <v>#REF!</v>
      </c>
      <c r="Y4" t="e">
        <f>AND('Strategic Summary'!#REF!,"AAAAAG3v/Rg=")</f>
        <v>#REF!</v>
      </c>
      <c r="Z4" t="e">
        <f>AND('Strategic Summary'!#REF!,"AAAAAG3v/Rk=")</f>
        <v>#REF!</v>
      </c>
      <c r="AA4" t="e">
        <f>AND('Strategic Summary'!#REF!,"AAAAAG3v/Ro=")</f>
        <v>#REF!</v>
      </c>
      <c r="AB4" t="e">
        <f>AND('Strategic Summary'!#REF!,"AAAAAG3v/Rs=")</f>
        <v>#REF!</v>
      </c>
      <c r="AC4" t="e">
        <f>AND('Strategic Summary'!#REF!,"AAAAAG3v/Rw=")</f>
        <v>#REF!</v>
      </c>
      <c r="AD4" t="e">
        <f>AND('Strategic Summary'!#REF!,"AAAAAG3v/R0=")</f>
        <v>#REF!</v>
      </c>
      <c r="AE4" t="e">
        <f>IF('Strategic Summary'!#REF!,"AAAAAG3v/R4=",0)</f>
        <v>#REF!</v>
      </c>
      <c r="AF4" t="e">
        <f>AND('Strategic Summary'!#REF!,"AAAAAG3v/R8=")</f>
        <v>#REF!</v>
      </c>
      <c r="AG4" t="e">
        <f>AND('Strategic Summary'!#REF!,"AAAAAG3v/SA=")</f>
        <v>#REF!</v>
      </c>
      <c r="AH4" t="e">
        <f>AND('Strategic Summary'!#REF!,"AAAAAG3v/SE=")</f>
        <v>#REF!</v>
      </c>
      <c r="AI4" t="e">
        <f>AND('Strategic Summary'!#REF!,"AAAAAG3v/SI=")</f>
        <v>#REF!</v>
      </c>
      <c r="AJ4" t="e">
        <f>AND('Strategic Summary'!#REF!,"AAAAAG3v/SM=")</f>
        <v>#REF!</v>
      </c>
      <c r="AK4" t="e">
        <f>AND('Strategic Summary'!#REF!,"AAAAAG3v/SQ=")</f>
        <v>#REF!</v>
      </c>
      <c r="AL4" t="e">
        <f>AND('Strategic Summary'!#REF!,"AAAAAG3v/SU=")</f>
        <v>#REF!</v>
      </c>
      <c r="AM4" t="e">
        <f>AND('Strategic Summary'!#REF!,"AAAAAG3v/SY=")</f>
        <v>#REF!</v>
      </c>
      <c r="AN4" t="e">
        <f>AND('Strategic Summary'!#REF!,"AAAAAG3v/Sc=")</f>
        <v>#REF!</v>
      </c>
      <c r="AO4" t="e">
        <f>AND('Strategic Summary'!#REF!,"AAAAAG3v/Sg=")</f>
        <v>#REF!</v>
      </c>
      <c r="AP4" t="e">
        <f>AND('Strategic Summary'!#REF!,"AAAAAG3v/Sk=")</f>
        <v>#REF!</v>
      </c>
      <c r="AQ4" t="e">
        <f>AND('Strategic Summary'!#REF!,"AAAAAG3v/So=")</f>
        <v>#REF!</v>
      </c>
      <c r="AR4" t="e">
        <f>AND('Strategic Summary'!#REF!,"AAAAAG3v/Ss=")</f>
        <v>#REF!</v>
      </c>
      <c r="AS4" t="e">
        <f>AND('Strategic Summary'!#REF!,"AAAAAG3v/Sw=")</f>
        <v>#REF!</v>
      </c>
      <c r="AT4" t="e">
        <f>AND('Strategic Summary'!#REF!,"AAAAAG3v/S0=")</f>
        <v>#REF!</v>
      </c>
      <c r="AU4" t="e">
        <f>AND('Strategic Summary'!#REF!,"AAAAAG3v/S4=")</f>
        <v>#REF!</v>
      </c>
      <c r="AV4" t="e">
        <f>AND('Strategic Summary'!#REF!,"AAAAAG3v/S8=")</f>
        <v>#REF!</v>
      </c>
      <c r="AW4" t="e">
        <f>AND('Strategic Summary'!#REF!,"AAAAAG3v/TA=")</f>
        <v>#REF!</v>
      </c>
      <c r="AX4" t="e">
        <f>IF('Strategic Summary'!#REF!,"AAAAAG3v/TE=",0)</f>
        <v>#REF!</v>
      </c>
      <c r="AY4" t="e">
        <f>AND('Strategic Summary'!#REF!,"AAAAAG3v/TI=")</f>
        <v>#REF!</v>
      </c>
      <c r="AZ4" t="e">
        <f>AND('Strategic Summary'!#REF!,"AAAAAG3v/TM=")</f>
        <v>#REF!</v>
      </c>
      <c r="BA4" t="e">
        <f>AND('Strategic Summary'!#REF!,"AAAAAG3v/TQ=")</f>
        <v>#REF!</v>
      </c>
      <c r="BB4" t="e">
        <f>AND('Strategic Summary'!#REF!,"AAAAAG3v/TU=")</f>
        <v>#REF!</v>
      </c>
      <c r="BC4" t="e">
        <f>AND('Strategic Summary'!#REF!,"AAAAAG3v/TY=")</f>
        <v>#REF!</v>
      </c>
      <c r="BD4" t="e">
        <f>AND('Strategic Summary'!#REF!,"AAAAAG3v/Tc=")</f>
        <v>#REF!</v>
      </c>
      <c r="BE4" t="e">
        <f>AND('Strategic Summary'!#REF!,"AAAAAG3v/Tg=")</f>
        <v>#REF!</v>
      </c>
      <c r="BF4" t="e">
        <f>AND('Strategic Summary'!#REF!,"AAAAAG3v/Tk=")</f>
        <v>#REF!</v>
      </c>
      <c r="BG4" t="e">
        <f>AND('Strategic Summary'!#REF!,"AAAAAG3v/To=")</f>
        <v>#REF!</v>
      </c>
      <c r="BH4" t="e">
        <f>AND('Strategic Summary'!#REF!,"AAAAAG3v/Ts=")</f>
        <v>#REF!</v>
      </c>
      <c r="BI4" t="e">
        <f>AND('Strategic Summary'!#REF!,"AAAAAG3v/Tw=")</f>
        <v>#REF!</v>
      </c>
      <c r="BJ4" t="e">
        <f>AND('Strategic Summary'!#REF!,"AAAAAG3v/T0=")</f>
        <v>#REF!</v>
      </c>
      <c r="BK4" t="e">
        <f>AND('Strategic Summary'!#REF!,"AAAAAG3v/T4=")</f>
        <v>#REF!</v>
      </c>
      <c r="BL4" t="e">
        <f>AND('Strategic Summary'!#REF!,"AAAAAG3v/T8=")</f>
        <v>#REF!</v>
      </c>
      <c r="BM4" t="e">
        <f>AND('Strategic Summary'!#REF!,"AAAAAG3v/UA=")</f>
        <v>#REF!</v>
      </c>
      <c r="BN4" t="e">
        <f>AND('Strategic Summary'!#REF!,"AAAAAG3v/UE=")</f>
        <v>#REF!</v>
      </c>
      <c r="BO4" t="e">
        <f>AND('Strategic Summary'!#REF!,"AAAAAG3v/UI=")</f>
        <v>#REF!</v>
      </c>
      <c r="BP4" t="e">
        <f>AND('Strategic Summary'!#REF!,"AAAAAG3v/UM=")</f>
        <v>#REF!</v>
      </c>
      <c r="BQ4" t="e">
        <f>IF('Strategic Summary'!#REF!,"AAAAAG3v/UQ=",0)</f>
        <v>#REF!</v>
      </c>
      <c r="BR4" t="e">
        <f>AND('Strategic Summary'!#REF!,"AAAAAG3v/UU=")</f>
        <v>#REF!</v>
      </c>
      <c r="BS4" t="e">
        <f>AND('Strategic Summary'!#REF!,"AAAAAG3v/UY=")</f>
        <v>#REF!</v>
      </c>
      <c r="BT4" t="e">
        <f>AND('Strategic Summary'!#REF!,"AAAAAG3v/Uc=")</f>
        <v>#REF!</v>
      </c>
      <c r="BU4" t="e">
        <f>AND('Strategic Summary'!#REF!,"AAAAAG3v/Ug=")</f>
        <v>#REF!</v>
      </c>
      <c r="BV4" t="e">
        <f>AND('Strategic Summary'!#REF!,"AAAAAG3v/Uk=")</f>
        <v>#REF!</v>
      </c>
      <c r="BW4" t="e">
        <f>AND('Strategic Summary'!#REF!,"AAAAAG3v/Uo=")</f>
        <v>#REF!</v>
      </c>
      <c r="BX4" t="e">
        <f>AND('Strategic Summary'!#REF!,"AAAAAG3v/Us=")</f>
        <v>#REF!</v>
      </c>
      <c r="BY4" t="e">
        <f>AND('Strategic Summary'!#REF!,"AAAAAG3v/Uw=")</f>
        <v>#REF!</v>
      </c>
      <c r="BZ4" t="e">
        <f>AND('Strategic Summary'!#REF!,"AAAAAG3v/U0=")</f>
        <v>#REF!</v>
      </c>
      <c r="CA4" t="e">
        <f>AND('Strategic Summary'!#REF!,"AAAAAG3v/U4=")</f>
        <v>#REF!</v>
      </c>
      <c r="CB4" t="e">
        <f>AND('Strategic Summary'!#REF!,"AAAAAG3v/U8=")</f>
        <v>#REF!</v>
      </c>
      <c r="CC4" t="e">
        <f>AND('Strategic Summary'!#REF!,"AAAAAG3v/VA=")</f>
        <v>#REF!</v>
      </c>
      <c r="CD4" t="e">
        <f>AND('Strategic Summary'!#REF!,"AAAAAG3v/VE=")</f>
        <v>#REF!</v>
      </c>
      <c r="CE4" t="e">
        <f>AND('Strategic Summary'!#REF!,"AAAAAG3v/VI=")</f>
        <v>#REF!</v>
      </c>
      <c r="CF4" t="e">
        <f>AND('Strategic Summary'!#REF!,"AAAAAG3v/VM=")</f>
        <v>#REF!</v>
      </c>
      <c r="CG4" t="e">
        <f>AND('Strategic Summary'!#REF!,"AAAAAG3v/VQ=")</f>
        <v>#REF!</v>
      </c>
      <c r="CH4" t="e">
        <f>AND('Strategic Summary'!#REF!,"AAAAAG3v/VU=")</f>
        <v>#REF!</v>
      </c>
      <c r="CI4" t="e">
        <f>AND('Strategic Summary'!#REF!,"AAAAAG3v/VY=")</f>
        <v>#REF!</v>
      </c>
      <c r="CJ4" t="e">
        <f>IF('Strategic Summary'!#REF!,"AAAAAG3v/Vc=",0)</f>
        <v>#REF!</v>
      </c>
      <c r="CK4" t="e">
        <f>AND('Strategic Summary'!#REF!,"AAAAAG3v/Vg=")</f>
        <v>#REF!</v>
      </c>
      <c r="CL4" t="e">
        <f>AND('Strategic Summary'!#REF!,"AAAAAG3v/Vk=")</f>
        <v>#REF!</v>
      </c>
      <c r="CM4" t="e">
        <f>AND('Strategic Summary'!#REF!,"AAAAAG3v/Vo=")</f>
        <v>#REF!</v>
      </c>
      <c r="CN4" t="e">
        <f>AND('Strategic Summary'!#REF!,"AAAAAG3v/Vs=")</f>
        <v>#REF!</v>
      </c>
      <c r="CO4" t="e">
        <f>AND('Strategic Summary'!#REF!,"AAAAAG3v/Vw=")</f>
        <v>#REF!</v>
      </c>
      <c r="CP4" t="e">
        <f>AND('Strategic Summary'!#REF!,"AAAAAG3v/V0=")</f>
        <v>#REF!</v>
      </c>
      <c r="CQ4" t="e">
        <f>AND('Strategic Summary'!#REF!,"AAAAAG3v/V4=")</f>
        <v>#REF!</v>
      </c>
      <c r="CR4" t="e">
        <f>AND('Strategic Summary'!#REF!,"AAAAAG3v/V8=")</f>
        <v>#REF!</v>
      </c>
      <c r="CS4" t="e">
        <f>AND('Strategic Summary'!#REF!,"AAAAAG3v/WA=")</f>
        <v>#REF!</v>
      </c>
      <c r="CT4" t="e">
        <f>AND('Strategic Summary'!#REF!,"AAAAAG3v/WE=")</f>
        <v>#REF!</v>
      </c>
      <c r="CU4" t="e">
        <f>AND('Strategic Summary'!#REF!,"AAAAAG3v/WI=")</f>
        <v>#REF!</v>
      </c>
      <c r="CV4" t="e">
        <f>AND('Strategic Summary'!#REF!,"AAAAAG3v/WM=")</f>
        <v>#REF!</v>
      </c>
      <c r="CW4" t="e">
        <f>AND('Strategic Summary'!#REF!,"AAAAAG3v/WQ=")</f>
        <v>#REF!</v>
      </c>
      <c r="CX4" t="e">
        <f>AND('Strategic Summary'!#REF!,"AAAAAG3v/WU=")</f>
        <v>#REF!</v>
      </c>
      <c r="CY4" t="e">
        <f>AND('Strategic Summary'!#REF!,"AAAAAG3v/WY=")</f>
        <v>#REF!</v>
      </c>
      <c r="CZ4" t="e">
        <f>AND('Strategic Summary'!#REF!,"AAAAAG3v/Wc=")</f>
        <v>#REF!</v>
      </c>
      <c r="DA4" t="e">
        <f>AND('Strategic Summary'!#REF!,"AAAAAG3v/Wg=")</f>
        <v>#REF!</v>
      </c>
      <c r="DB4" t="e">
        <f>AND('Strategic Summary'!#REF!,"AAAAAG3v/Wk=")</f>
        <v>#REF!</v>
      </c>
      <c r="DC4" t="e">
        <f>IF('Strategic Summary'!#REF!,"AAAAAG3v/Wo=",0)</f>
        <v>#REF!</v>
      </c>
      <c r="DD4" t="e">
        <f>IF('Strategic Summary'!A:A,"AAAAAG3v/Ws=",0)</f>
        <v>#VALUE!</v>
      </c>
      <c r="DE4">
        <f>IF('Strategic Summary'!B:B,"AAAAAG3v/Ww=",0)</f>
        <v>0</v>
      </c>
      <c r="DF4">
        <f>IF('Strategic Summary'!C:C,"AAAAAG3v/W0=",0)</f>
        <v>0</v>
      </c>
      <c r="DG4">
        <f>IF('Strategic Summary'!D:D,"AAAAAG3v/W4=",0)</f>
        <v>0</v>
      </c>
      <c r="DH4">
        <f>IF('Strategic Summary'!E:E,"AAAAAG3v/W8=",0)</f>
        <v>0</v>
      </c>
      <c r="DI4">
        <f>IF('Strategic Summary'!F:F,"AAAAAG3v/XA=",0)</f>
        <v>0</v>
      </c>
      <c r="DJ4">
        <f>IF('Strategic Summary'!G:G,"AAAAAG3v/XE=",0)</f>
        <v>0</v>
      </c>
      <c r="DK4">
        <f>IF('Strategic Summary'!H:H,"AAAAAG3v/XI=",0)</f>
        <v>0</v>
      </c>
      <c r="DL4">
        <f>IF('Strategic Summary'!I:I,"AAAAAG3v/XM=",0)</f>
        <v>0</v>
      </c>
      <c r="DM4">
        <f>IF('Strategic Summary'!J:J,"AAAAAG3v/XQ=",0)</f>
        <v>0</v>
      </c>
      <c r="DN4">
        <f>IF('Strategic Summary'!K:K,"AAAAAG3v/XU=",0)</f>
        <v>0</v>
      </c>
      <c r="DO4">
        <f>IF('Strategic Summary'!L:L,"AAAAAG3v/XY=",0)</f>
        <v>0</v>
      </c>
      <c r="DP4">
        <f>IF('Strategic Summary'!M:M,"AAAAAG3v/Xc=",0)</f>
        <v>0</v>
      </c>
      <c r="DQ4">
        <f>IF('Strategic Summary'!N:N,"AAAAAG3v/Xg=",0)</f>
        <v>0</v>
      </c>
      <c r="DR4">
        <f>IF('Strategic Summary'!O:O,"AAAAAG3v/Xk=",0)</f>
        <v>0</v>
      </c>
      <c r="DS4">
        <f>IF('Strategic Summary'!P:P,"AAAAAG3v/Xo=",0)</f>
        <v>0</v>
      </c>
      <c r="DT4">
        <f>IF('Strategic Summary'!Q:Q,"AAAAAG3v/Xs=",0)</f>
        <v>0</v>
      </c>
      <c r="DU4">
        <f>IF('Strategic Summary'!R:R,"AAAAAG3v/Xw=",0)</f>
        <v>0</v>
      </c>
      <c r="DV4" t="s">
        <v>39</v>
      </c>
      <c r="DW4" t="e">
        <f>IF("N",EMPLYEE,"AAAAAG3v/X4=")</f>
        <v>#VALUE!</v>
      </c>
      <c r="DX4" t="e">
        <f>IF("N",hhh,"AAAAAG3v/X8=")</f>
        <v>#VALUE!</v>
      </c>
      <c r="DY4" t="e">
        <f>IF("N",HLIA2,"AAAAAG3v/YA=")</f>
        <v>#VALUE!</v>
      </c>
      <c r="DZ4" t="e">
        <f>IF("N",HLIA22,"AAAAAG3v/YE=")</f>
        <v>#VALUE!</v>
      </c>
      <c r="EA4" t="e">
        <f>IF("N",HLIA3,"AAAAAG3v/YI=")</f>
        <v>#VALUE!</v>
      </c>
      <c r="EB4" t="e">
        <f>IF("N",HTML_CodePage,"AAAAAG3v/YM=")</f>
        <v>#VALUE!</v>
      </c>
      <c r="EC4" t="e">
        <f>IF("N",HTML_Control,"AAAAAG3v/YQ=")</f>
        <v>#VALUE!</v>
      </c>
      <c r="ED4" t="e">
        <f>IF("N",HTML_Description,"AAAAAG3v/YU=")</f>
        <v>#VALUE!</v>
      </c>
      <c r="EE4" t="e">
        <f>IF("N",HTML_Email,"AAAAAG3v/YY=")</f>
        <v>#VALUE!</v>
      </c>
      <c r="EF4" t="e">
        <f>IF("N",HTML_Header,"AAAAAG3v/Yc=")</f>
        <v>#VALUE!</v>
      </c>
      <c r="EG4" t="e">
        <f>IF("N",HTML_LastUpdate,"AAAAAG3v/Yg=")</f>
        <v>#VALUE!</v>
      </c>
      <c r="EH4" t="e">
        <f>IF("N",HTML_LineAfter,"AAAAAG3v/Yk=")</f>
        <v>#VALUE!</v>
      </c>
      <c r="EI4" t="e">
        <f>IF("N",HTML_LineBefore,"AAAAAG3v/Yo=")</f>
        <v>#VALUE!</v>
      </c>
      <c r="EJ4" t="e">
        <f>IF("N",HTML_Name,"AAAAAG3v/Ys=")</f>
        <v>#VALUE!</v>
      </c>
      <c r="EK4" t="e">
        <f>IF("N",HTML_OBDlg2,"AAAAAG3v/Yw=")</f>
        <v>#VALUE!</v>
      </c>
      <c r="EL4" t="e">
        <f>IF("N",HTML_OBDlg4,"AAAAAG3v/Y0=")</f>
        <v>#VALUE!</v>
      </c>
      <c r="EM4" t="e">
        <f>IF("N",HTML_OS,"AAAAAG3v/Y4=")</f>
        <v>#VALUE!</v>
      </c>
      <c r="EN4" t="e">
        <f>IF("N",HTML_PathFile,"AAAAAG3v/Y8=")</f>
        <v>#VALUE!</v>
      </c>
      <c r="EO4" t="e">
        <f>IF("N",HTML_Title,"AAAAAG3v/ZA=")</f>
        <v>#VALUE!</v>
      </c>
      <c r="EP4" t="e">
        <f>IF("N",KPMEMPLO,"AAAAAG3v/ZE=")</f>
        <v>#VALUE!</v>
      </c>
      <c r="EQ4" t="e">
        <f>IF("N",New,"AAAAAG3v/ZI=")</f>
        <v>#VALUE!</v>
      </c>
      <c r="ER4" t="e">
        <f>IF("N",NEW2,"AAAAAG3v/ZM=")</f>
        <v>#VALUE!</v>
      </c>
      <c r="ES4" t="e">
        <f>IF("N",NEW3,"AAAAAG3v/ZQ=")</f>
        <v>#VALUE!</v>
      </c>
      <c r="ET4" t="e">
        <f>IF("N",NEW4,"AAAAAG3v/ZU=")</f>
        <v>#VALUE!</v>
      </c>
      <c r="EU4" t="e">
        <f>IF("N",NEW5,"AAAAAG3v/ZY=")</f>
        <v>#VALUE!</v>
      </c>
      <c r="EV4" t="e">
        <f>IF("N",NEW6,"AAAAAG3v/Zc=")</f>
        <v>#VALUE!</v>
      </c>
      <c r="EW4" t="e">
        <f>IF("N",old,"AAAAAG3v/Zg=")</f>
        <v>#VALUE!</v>
      </c>
      <c r="EX4" t="e">
        <f>IF("N",OLD2,"AAAAAG3v/Zk=")</f>
        <v>#VALUE!</v>
      </c>
      <c r="EY4" t="e">
        <f>IF("N",OLD4,"AAAAAG3v/Zo=")</f>
        <v>#VALUE!</v>
      </c>
      <c r="EZ4" t="e">
        <f>IF("N",OPERATIONS,"AAAAAG3v/Zs=")</f>
        <v>#VALUE!</v>
      </c>
      <c r="FA4" t="e">
        <f>IF("N",_xlnm.Print_Area,"AAAAAG3v/Zw=")</f>
        <v>#VALUE!</v>
      </c>
      <c r="FB4" t="e">
        <f>IF("N",_xlnm.Print_Titles,"AAAAAG3v/Z0=")</f>
        <v>#VALUE!</v>
      </c>
      <c r="FC4" t="e">
        <f>IF("N",sherry,"AAAAAG3v/Z4=")</f>
        <v>#VALUE!</v>
      </c>
      <c r="FD4" t="e">
        <f>IF("N",Strat6,"AAAAAG3v/Z8=")</f>
        <v>#VALUE!</v>
      </c>
      <c r="FE4" t="e">
        <f>IF("N",Strat9.4,"AAAAAG3v/aA=")</f>
        <v>#VALUE!</v>
      </c>
      <c r="FF4" t="e">
        <f>IF("N",Strat9.5,"AAAAAG3v/aE=")</f>
        <v>#VALUE!</v>
      </c>
      <c r="FG4" t="e">
        <f>IF("N",Strat9.6,"AAAAAG3v/aI=")</f>
        <v>#VALUE!</v>
      </c>
      <c r="FH4" t="e">
        <f>IF("N",Strat9.7,"AAAAAG3v/aM=")</f>
        <v>#VALUE!</v>
      </c>
      <c r="FI4" t="e">
        <f>IF("N",Strat97,"AAAAAG3v/aQ=")</f>
        <v>#VALUE!</v>
      </c>
      <c r="FJ4" t="e">
        <f>IF("N",Strategy9.7,"AAAAAG3v/aU=")</f>
        <v>#VALUE!</v>
      </c>
    </row>
    <row r="5" spans="1:256" ht="12.75" customHeight="1" x14ac:dyDescent="0.2"/>
    <row r="6" spans="1:256" ht="12.75" customHeight="1" x14ac:dyDescent="0.2"/>
    <row r="7" spans="1:256" ht="12.75" customHeight="1" x14ac:dyDescent="0.2"/>
    <row r="8" spans="1:256" ht="12.75" customHeight="1" x14ac:dyDescent="0.2"/>
    <row r="9" spans="1:256" ht="12.75" customHeight="1" x14ac:dyDescent="0.2"/>
    <row r="10" spans="1:256" ht="12.75" customHeight="1" x14ac:dyDescent="0.2"/>
    <row r="11" spans="1:256" ht="12.75" customHeight="1" x14ac:dyDescent="0.2"/>
    <row r="12" spans="1:256" ht="12.75" customHeight="1" x14ac:dyDescent="0.2"/>
    <row r="13" spans="1:256" ht="12.75" customHeight="1" x14ac:dyDescent="0.2"/>
    <row r="14" spans="1:256" ht="12.75" customHeight="1" x14ac:dyDescent="0.2"/>
    <row r="15" spans="1:256" ht="12.75" customHeight="1" x14ac:dyDescent="0.2"/>
    <row r="16" spans="1:25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0BCE0-B63D-4C4A-AFCF-51178F809880}">
  <dimension ref="A1:AA19"/>
  <sheetViews>
    <sheetView workbookViewId="0">
      <selection activeCell="B10" sqref="B10:E10"/>
    </sheetView>
  </sheetViews>
  <sheetFormatPr defaultColWidth="14.42578125" defaultRowHeight="15" customHeight="1" x14ac:dyDescent="0.2"/>
  <cols>
    <col min="1" max="1" width="7.85546875" customWidth="1"/>
    <col min="2" max="4" width="9.140625" customWidth="1"/>
    <col min="5" max="5" width="19.42578125" customWidth="1"/>
    <col min="6" max="6" width="9.28515625" customWidth="1"/>
    <col min="7" max="13" width="9.140625" customWidth="1"/>
    <col min="14" max="14" width="13.28515625" customWidth="1"/>
    <col min="15" max="15" width="9.140625" customWidth="1"/>
    <col min="16" max="16" width="18.28515625" customWidth="1"/>
    <col min="17" max="27" width="9.140625" customWidth="1"/>
  </cols>
  <sheetData>
    <row r="1" spans="1:27" ht="15.75" thickBot="1" x14ac:dyDescent="0.25">
      <c r="A1" s="2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54" customHeight="1" thickBot="1" x14ac:dyDescent="0.3">
      <c r="A2" s="5" t="s">
        <v>2</v>
      </c>
      <c r="B2" s="146" t="s">
        <v>3</v>
      </c>
      <c r="C2" s="147"/>
      <c r="D2" s="147"/>
      <c r="E2" s="147"/>
      <c r="F2" s="148" t="s">
        <v>0</v>
      </c>
      <c r="G2" s="147"/>
      <c r="H2" s="149" t="s">
        <v>1</v>
      </c>
      <c r="I2" s="150"/>
      <c r="J2" s="150"/>
      <c r="K2" s="148" t="s">
        <v>4</v>
      </c>
      <c r="L2" s="147"/>
      <c r="M2" s="151"/>
      <c r="N2" s="6" t="s">
        <v>5</v>
      </c>
      <c r="O2" s="152" t="s">
        <v>6</v>
      </c>
      <c r="P2" s="151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41.25" customHeight="1" thickBot="1" x14ac:dyDescent="0.25">
      <c r="A3" s="27"/>
      <c r="B3" s="63"/>
      <c r="C3" s="64"/>
      <c r="D3" s="64"/>
      <c r="E3" s="65"/>
      <c r="F3" s="66"/>
      <c r="G3" s="65"/>
      <c r="H3" s="67"/>
      <c r="I3" s="64"/>
      <c r="J3" s="65"/>
      <c r="K3" s="67"/>
      <c r="L3" s="64"/>
      <c r="M3" s="65"/>
      <c r="N3" s="8"/>
      <c r="O3" s="153"/>
      <c r="P3" s="78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7.5" customHeight="1" thickBot="1" x14ac:dyDescent="0.25">
      <c r="A4" s="10"/>
      <c r="B4" s="136"/>
      <c r="C4" s="137"/>
      <c r="D4" s="137"/>
      <c r="E4" s="137"/>
      <c r="F4" s="138"/>
      <c r="G4" s="137"/>
      <c r="H4" s="139"/>
      <c r="I4" s="140"/>
      <c r="J4" s="140"/>
      <c r="K4" s="141"/>
      <c r="L4" s="137"/>
      <c r="M4" s="137"/>
      <c r="N4" s="3"/>
      <c r="O4" s="2"/>
      <c r="P4" s="2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6.5" customHeight="1" thickBot="1" x14ac:dyDescent="0.25">
      <c r="A5" s="60" t="s">
        <v>2</v>
      </c>
      <c r="B5" s="142" t="s">
        <v>8</v>
      </c>
      <c r="C5" s="143"/>
      <c r="D5" s="143"/>
      <c r="E5" s="144"/>
      <c r="F5" s="145" t="s">
        <v>0</v>
      </c>
      <c r="G5" s="144"/>
      <c r="H5" s="145" t="s">
        <v>9</v>
      </c>
      <c r="I5" s="143"/>
      <c r="J5" s="144"/>
      <c r="K5" s="145" t="s">
        <v>4</v>
      </c>
      <c r="L5" s="143"/>
      <c r="M5" s="144"/>
      <c r="N5" s="6" t="s">
        <v>5</v>
      </c>
      <c r="O5" s="135" t="s">
        <v>6</v>
      </c>
      <c r="P5" s="78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5.75" customHeight="1" x14ac:dyDescent="0.2">
      <c r="A6" s="26" t="s">
        <v>47</v>
      </c>
      <c r="B6" s="129" t="s">
        <v>10</v>
      </c>
      <c r="C6" s="92"/>
      <c r="D6" s="92"/>
      <c r="E6" s="78"/>
      <c r="F6" s="130" t="s">
        <v>0</v>
      </c>
      <c r="G6" s="78"/>
      <c r="H6" s="131" t="s">
        <v>11</v>
      </c>
      <c r="I6" s="92"/>
      <c r="J6" s="78"/>
      <c r="K6" s="131"/>
      <c r="L6" s="92"/>
      <c r="M6" s="78"/>
      <c r="N6" s="13"/>
      <c r="O6" s="131"/>
      <c r="P6" s="78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5.75" customHeight="1" x14ac:dyDescent="0.2">
      <c r="A7" s="26" t="s">
        <v>48</v>
      </c>
      <c r="B7" s="129" t="s">
        <v>12</v>
      </c>
      <c r="C7" s="92"/>
      <c r="D7" s="92"/>
      <c r="E7" s="78"/>
      <c r="F7" s="130" t="s">
        <v>0</v>
      </c>
      <c r="G7" s="78"/>
      <c r="H7" s="131" t="s">
        <v>11</v>
      </c>
      <c r="I7" s="92"/>
      <c r="J7" s="78"/>
      <c r="K7" s="131"/>
      <c r="L7" s="92"/>
      <c r="M7" s="78"/>
      <c r="N7" s="13"/>
      <c r="O7" s="131"/>
      <c r="P7" s="78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5.75" customHeight="1" x14ac:dyDescent="0.2">
      <c r="A8" s="26" t="s">
        <v>49</v>
      </c>
      <c r="B8" s="129" t="s">
        <v>13</v>
      </c>
      <c r="C8" s="92"/>
      <c r="D8" s="92"/>
      <c r="E8" s="78"/>
      <c r="F8" s="130" t="s">
        <v>0</v>
      </c>
      <c r="G8" s="78"/>
      <c r="H8" s="131" t="s">
        <v>11</v>
      </c>
      <c r="I8" s="92"/>
      <c r="J8" s="78"/>
      <c r="K8" s="132"/>
      <c r="L8" s="92"/>
      <c r="M8" s="78"/>
      <c r="N8" s="13"/>
      <c r="O8" s="133"/>
      <c r="P8" s="78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5.75" customHeight="1" x14ac:dyDescent="0.2">
      <c r="A9" s="12"/>
      <c r="B9" s="129"/>
      <c r="C9" s="92"/>
      <c r="D9" s="92"/>
      <c r="E9" s="78"/>
      <c r="F9" s="130"/>
      <c r="G9" s="78"/>
      <c r="H9" s="131"/>
      <c r="I9" s="92"/>
      <c r="J9" s="78"/>
      <c r="K9" s="132"/>
      <c r="L9" s="92"/>
      <c r="M9" s="78"/>
      <c r="N9" s="13"/>
      <c r="O9" s="133"/>
      <c r="P9" s="78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15.75" customHeight="1" x14ac:dyDescent="0.2">
      <c r="A10" s="12"/>
      <c r="B10" s="129"/>
      <c r="C10" s="92"/>
      <c r="D10" s="92"/>
      <c r="E10" s="78"/>
      <c r="F10" s="130"/>
      <c r="G10" s="78"/>
      <c r="H10" s="131"/>
      <c r="I10" s="92"/>
      <c r="J10" s="78"/>
      <c r="K10" s="134"/>
      <c r="L10" s="92"/>
      <c r="M10" s="78"/>
      <c r="N10" s="13"/>
      <c r="O10" s="131"/>
      <c r="P10" s="78"/>
      <c r="Q10" s="4" t="s">
        <v>14</v>
      </c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5.75" customHeight="1" x14ac:dyDescent="0.2">
      <c r="A11" s="12"/>
      <c r="B11" s="129"/>
      <c r="C11" s="92"/>
      <c r="D11" s="92"/>
      <c r="E11" s="78"/>
      <c r="F11" s="130"/>
      <c r="G11" s="78"/>
      <c r="H11" s="131"/>
      <c r="I11" s="92"/>
      <c r="J11" s="78"/>
      <c r="K11" s="132"/>
      <c r="L11" s="92"/>
      <c r="M11" s="78"/>
      <c r="N11" s="13"/>
      <c r="O11" s="133"/>
      <c r="P11" s="78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</sheetData>
  <mergeCells count="49">
    <mergeCell ref="B3:E3"/>
    <mergeCell ref="F3:G3"/>
    <mergeCell ref="H3:J3"/>
    <mergeCell ref="K3:M3"/>
    <mergeCell ref="O3:P3"/>
    <mergeCell ref="B2:E2"/>
    <mergeCell ref="F2:G2"/>
    <mergeCell ref="H2:J2"/>
    <mergeCell ref="K2:M2"/>
    <mergeCell ref="O2:P2"/>
    <mergeCell ref="B4:E4"/>
    <mergeCell ref="F4:G4"/>
    <mergeCell ref="H4:J4"/>
    <mergeCell ref="K4:M4"/>
    <mergeCell ref="B5:E5"/>
    <mergeCell ref="F5:G5"/>
    <mergeCell ref="H5:J5"/>
    <mergeCell ref="K5:M5"/>
    <mergeCell ref="O5:P5"/>
    <mergeCell ref="B6:E6"/>
    <mergeCell ref="F6:G6"/>
    <mergeCell ref="H6:J6"/>
    <mergeCell ref="K6:M6"/>
    <mergeCell ref="O6:P6"/>
    <mergeCell ref="B8:E8"/>
    <mergeCell ref="F8:G8"/>
    <mergeCell ref="H8:J8"/>
    <mergeCell ref="K8:M8"/>
    <mergeCell ref="O8:P8"/>
    <mergeCell ref="B7:E7"/>
    <mergeCell ref="F7:G7"/>
    <mergeCell ref="H7:J7"/>
    <mergeCell ref="K7:M7"/>
    <mergeCell ref="O7:P7"/>
    <mergeCell ref="B10:E10"/>
    <mergeCell ref="F10:G10"/>
    <mergeCell ref="H10:J10"/>
    <mergeCell ref="K10:M10"/>
    <mergeCell ref="O10:P10"/>
    <mergeCell ref="B9:E9"/>
    <mergeCell ref="F9:G9"/>
    <mergeCell ref="H9:J9"/>
    <mergeCell ref="K9:M9"/>
    <mergeCell ref="O9:P9"/>
    <mergeCell ref="B11:E11"/>
    <mergeCell ref="F11:G11"/>
    <mergeCell ref="H11:J11"/>
    <mergeCell ref="K11:M11"/>
    <mergeCell ref="O11:P1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9"/>
  <sheetViews>
    <sheetView workbookViewId="0">
      <selection activeCell="O14" sqref="O14"/>
    </sheetView>
  </sheetViews>
  <sheetFormatPr defaultColWidth="14.42578125" defaultRowHeight="15" customHeight="1" x14ac:dyDescent="0.2"/>
  <cols>
    <col min="1" max="1" width="7.85546875" customWidth="1"/>
    <col min="2" max="4" width="9.140625" customWidth="1"/>
    <col min="5" max="5" width="19.42578125" customWidth="1"/>
    <col min="6" max="6" width="9.28515625" customWidth="1"/>
    <col min="7" max="13" width="9.140625" customWidth="1"/>
    <col min="14" max="14" width="13.28515625" customWidth="1"/>
    <col min="15" max="15" width="9.140625" customWidth="1"/>
    <col min="16" max="16" width="18.28515625" customWidth="1"/>
    <col min="17" max="27" width="9.140625" customWidth="1"/>
  </cols>
  <sheetData>
    <row r="1" spans="1:27" ht="15.75" thickBot="1" x14ac:dyDescent="0.25">
      <c r="A1" s="2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54" customHeight="1" thickBot="1" x14ac:dyDescent="0.3">
      <c r="A2" s="5" t="s">
        <v>2</v>
      </c>
      <c r="B2" s="146" t="s">
        <v>3</v>
      </c>
      <c r="C2" s="147"/>
      <c r="D2" s="147"/>
      <c r="E2" s="147"/>
      <c r="F2" s="148" t="s">
        <v>0</v>
      </c>
      <c r="G2" s="147"/>
      <c r="H2" s="149" t="s">
        <v>1</v>
      </c>
      <c r="I2" s="150"/>
      <c r="J2" s="150"/>
      <c r="K2" s="148" t="s">
        <v>4</v>
      </c>
      <c r="L2" s="147"/>
      <c r="M2" s="151"/>
      <c r="N2" s="6" t="s">
        <v>5</v>
      </c>
      <c r="O2" s="152" t="s">
        <v>6</v>
      </c>
      <c r="P2" s="151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41.25" customHeight="1" thickBot="1" x14ac:dyDescent="0.25">
      <c r="A3" s="27"/>
      <c r="B3" s="63"/>
      <c r="C3" s="64"/>
      <c r="D3" s="64"/>
      <c r="E3" s="65"/>
      <c r="F3" s="66"/>
      <c r="G3" s="65"/>
      <c r="H3" s="67"/>
      <c r="I3" s="64"/>
      <c r="J3" s="65"/>
      <c r="K3" s="67"/>
      <c r="L3" s="64"/>
      <c r="M3" s="65"/>
      <c r="N3" s="8"/>
      <c r="O3" s="153"/>
      <c r="P3" s="78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7.5" customHeight="1" thickBot="1" x14ac:dyDescent="0.25">
      <c r="A4" s="10"/>
      <c r="B4" s="136"/>
      <c r="C4" s="137"/>
      <c r="D4" s="137"/>
      <c r="E4" s="137"/>
      <c r="F4" s="138"/>
      <c r="G4" s="137"/>
      <c r="H4" s="139"/>
      <c r="I4" s="140"/>
      <c r="J4" s="140"/>
      <c r="K4" s="141"/>
      <c r="L4" s="137"/>
      <c r="M4" s="137"/>
      <c r="N4" s="3"/>
      <c r="O4" s="2"/>
      <c r="P4" s="2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6.5" customHeight="1" thickBot="1" x14ac:dyDescent="0.25">
      <c r="A5" s="60" t="s">
        <v>2</v>
      </c>
      <c r="B5" s="142" t="s">
        <v>8</v>
      </c>
      <c r="C5" s="143"/>
      <c r="D5" s="143"/>
      <c r="E5" s="144"/>
      <c r="F5" s="145" t="s">
        <v>0</v>
      </c>
      <c r="G5" s="144"/>
      <c r="H5" s="145" t="s">
        <v>9</v>
      </c>
      <c r="I5" s="143"/>
      <c r="J5" s="144"/>
      <c r="K5" s="145" t="s">
        <v>4</v>
      </c>
      <c r="L5" s="143"/>
      <c r="M5" s="144"/>
      <c r="N5" s="6" t="s">
        <v>5</v>
      </c>
      <c r="O5" s="135" t="s">
        <v>6</v>
      </c>
      <c r="P5" s="78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5.75" customHeight="1" x14ac:dyDescent="0.2">
      <c r="A6" s="26" t="s">
        <v>65</v>
      </c>
      <c r="B6" s="129" t="s">
        <v>10</v>
      </c>
      <c r="C6" s="92"/>
      <c r="D6" s="92"/>
      <c r="E6" s="78"/>
      <c r="F6" s="130" t="s">
        <v>0</v>
      </c>
      <c r="G6" s="78"/>
      <c r="H6" s="131" t="s">
        <v>11</v>
      </c>
      <c r="I6" s="92"/>
      <c r="J6" s="78"/>
      <c r="K6" s="131"/>
      <c r="L6" s="92"/>
      <c r="M6" s="78"/>
      <c r="N6" s="13"/>
      <c r="O6" s="131"/>
      <c r="P6" s="78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5.75" customHeight="1" x14ac:dyDescent="0.2">
      <c r="A7" s="26" t="s">
        <v>66</v>
      </c>
      <c r="B7" s="129" t="s">
        <v>12</v>
      </c>
      <c r="C7" s="92"/>
      <c r="D7" s="92"/>
      <c r="E7" s="78"/>
      <c r="F7" s="130" t="s">
        <v>0</v>
      </c>
      <c r="G7" s="78"/>
      <c r="H7" s="131" t="s">
        <v>11</v>
      </c>
      <c r="I7" s="92"/>
      <c r="J7" s="78"/>
      <c r="K7" s="131"/>
      <c r="L7" s="92"/>
      <c r="M7" s="78"/>
      <c r="N7" s="13"/>
      <c r="O7" s="131"/>
      <c r="P7" s="78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5.75" customHeight="1" x14ac:dyDescent="0.2">
      <c r="A8" s="26" t="s">
        <v>67</v>
      </c>
      <c r="B8" s="129" t="s">
        <v>13</v>
      </c>
      <c r="C8" s="92"/>
      <c r="D8" s="92"/>
      <c r="E8" s="78"/>
      <c r="F8" s="130" t="s">
        <v>0</v>
      </c>
      <c r="G8" s="78"/>
      <c r="H8" s="131" t="s">
        <v>11</v>
      </c>
      <c r="I8" s="92"/>
      <c r="J8" s="78"/>
      <c r="K8" s="132"/>
      <c r="L8" s="92"/>
      <c r="M8" s="78"/>
      <c r="N8" s="13"/>
      <c r="O8" s="133"/>
      <c r="P8" s="78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5.75" customHeight="1" x14ac:dyDescent="0.2">
      <c r="A9" s="12"/>
      <c r="B9" s="129"/>
      <c r="C9" s="92"/>
      <c r="D9" s="92"/>
      <c r="E9" s="78"/>
      <c r="F9" s="130"/>
      <c r="G9" s="78"/>
      <c r="H9" s="131"/>
      <c r="I9" s="92"/>
      <c r="J9" s="78"/>
      <c r="K9" s="132"/>
      <c r="L9" s="92"/>
      <c r="M9" s="78"/>
      <c r="N9" s="13"/>
      <c r="O9" s="133"/>
      <c r="P9" s="78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15.75" customHeight="1" x14ac:dyDescent="0.2">
      <c r="A10" s="12"/>
      <c r="B10" s="129"/>
      <c r="C10" s="92"/>
      <c r="D10" s="92"/>
      <c r="E10" s="78"/>
      <c r="F10" s="130"/>
      <c r="G10" s="78"/>
      <c r="H10" s="131"/>
      <c r="I10" s="92"/>
      <c r="J10" s="78"/>
      <c r="K10" s="134"/>
      <c r="L10" s="92"/>
      <c r="M10" s="78"/>
      <c r="N10" s="13"/>
      <c r="O10" s="131"/>
      <c r="P10" s="78"/>
      <c r="Q10" s="4" t="s">
        <v>14</v>
      </c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5.75" customHeight="1" x14ac:dyDescent="0.2">
      <c r="A11" s="12"/>
      <c r="B11" s="129"/>
      <c r="C11" s="92"/>
      <c r="D11" s="92"/>
      <c r="E11" s="78"/>
      <c r="F11" s="130"/>
      <c r="G11" s="78"/>
      <c r="H11" s="131"/>
      <c r="I11" s="92"/>
      <c r="J11" s="78"/>
      <c r="K11" s="132"/>
      <c r="L11" s="92"/>
      <c r="M11" s="78"/>
      <c r="N11" s="13"/>
      <c r="O11" s="133"/>
      <c r="P11" s="78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</sheetData>
  <mergeCells count="49">
    <mergeCell ref="B3:E3"/>
    <mergeCell ref="F3:G3"/>
    <mergeCell ref="H3:J3"/>
    <mergeCell ref="K3:M3"/>
    <mergeCell ref="O3:P3"/>
    <mergeCell ref="B2:E2"/>
    <mergeCell ref="F2:G2"/>
    <mergeCell ref="H2:J2"/>
    <mergeCell ref="K2:M2"/>
    <mergeCell ref="O2:P2"/>
    <mergeCell ref="B4:E4"/>
    <mergeCell ref="F4:G4"/>
    <mergeCell ref="H4:J4"/>
    <mergeCell ref="K4:M4"/>
    <mergeCell ref="B5:E5"/>
    <mergeCell ref="F5:G5"/>
    <mergeCell ref="H5:J5"/>
    <mergeCell ref="K5:M5"/>
    <mergeCell ref="O5:P5"/>
    <mergeCell ref="B6:E6"/>
    <mergeCell ref="F6:G6"/>
    <mergeCell ref="H6:J6"/>
    <mergeCell ref="K6:M6"/>
    <mergeCell ref="O6:P6"/>
    <mergeCell ref="B8:E8"/>
    <mergeCell ref="F8:G8"/>
    <mergeCell ref="H8:J8"/>
    <mergeCell ref="K8:M8"/>
    <mergeCell ref="O8:P8"/>
    <mergeCell ref="B7:E7"/>
    <mergeCell ref="F7:G7"/>
    <mergeCell ref="H7:J7"/>
    <mergeCell ref="K7:M7"/>
    <mergeCell ref="O7:P7"/>
    <mergeCell ref="B10:E10"/>
    <mergeCell ref="F10:G10"/>
    <mergeCell ref="H10:J10"/>
    <mergeCell ref="K10:M10"/>
    <mergeCell ref="O10:P10"/>
    <mergeCell ref="B9:E9"/>
    <mergeCell ref="F9:G9"/>
    <mergeCell ref="H9:J9"/>
    <mergeCell ref="K9:M9"/>
    <mergeCell ref="O9:P9"/>
    <mergeCell ref="B11:E11"/>
    <mergeCell ref="F11:G11"/>
    <mergeCell ref="H11:J11"/>
    <mergeCell ref="K11:M11"/>
    <mergeCell ref="O11:P1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1D275-4327-49FD-9DED-47D54DA7E445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8C9C3-6ED0-474D-83A5-237A55343B62}">
  <dimension ref="A1:AA19"/>
  <sheetViews>
    <sheetView workbookViewId="0">
      <selection activeCell="B11" sqref="B11:E11"/>
    </sheetView>
  </sheetViews>
  <sheetFormatPr defaultColWidth="14.42578125" defaultRowHeight="15" customHeight="1" x14ac:dyDescent="0.2"/>
  <cols>
    <col min="1" max="1" width="7.85546875" customWidth="1"/>
    <col min="2" max="4" width="9.140625" customWidth="1"/>
    <col min="5" max="5" width="19.42578125" customWidth="1"/>
    <col min="6" max="6" width="9.28515625" customWidth="1"/>
    <col min="7" max="13" width="9.140625" customWidth="1"/>
    <col min="14" max="14" width="13.28515625" customWidth="1"/>
    <col min="15" max="15" width="9.140625" customWidth="1"/>
    <col min="16" max="16" width="18.28515625" customWidth="1"/>
    <col min="17" max="27" width="9.140625" customWidth="1"/>
  </cols>
  <sheetData>
    <row r="1" spans="1:27" ht="15.75" thickBot="1" x14ac:dyDescent="0.25">
      <c r="A1" s="2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54" customHeight="1" thickBot="1" x14ac:dyDescent="0.3">
      <c r="A2" s="5" t="s">
        <v>2</v>
      </c>
      <c r="B2" s="146" t="s">
        <v>3</v>
      </c>
      <c r="C2" s="147"/>
      <c r="D2" s="147"/>
      <c r="E2" s="147"/>
      <c r="F2" s="148" t="s">
        <v>0</v>
      </c>
      <c r="G2" s="147"/>
      <c r="H2" s="149" t="s">
        <v>1</v>
      </c>
      <c r="I2" s="150"/>
      <c r="J2" s="150"/>
      <c r="K2" s="148" t="s">
        <v>4</v>
      </c>
      <c r="L2" s="147"/>
      <c r="M2" s="151"/>
      <c r="N2" s="6" t="s">
        <v>5</v>
      </c>
      <c r="O2" s="152" t="s">
        <v>6</v>
      </c>
      <c r="P2" s="151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41.25" customHeight="1" thickBot="1" x14ac:dyDescent="0.25">
      <c r="A3" s="27"/>
      <c r="B3" s="63"/>
      <c r="C3" s="64"/>
      <c r="D3" s="64"/>
      <c r="E3" s="65"/>
      <c r="F3" s="66"/>
      <c r="G3" s="65"/>
      <c r="H3" s="67"/>
      <c r="I3" s="64"/>
      <c r="J3" s="65"/>
      <c r="K3" s="67"/>
      <c r="L3" s="64"/>
      <c r="M3" s="65"/>
      <c r="N3" s="8"/>
      <c r="O3" s="153"/>
      <c r="P3" s="78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7.5" customHeight="1" thickBot="1" x14ac:dyDescent="0.25">
      <c r="A4" s="10"/>
      <c r="B4" s="136"/>
      <c r="C4" s="137"/>
      <c r="D4" s="137"/>
      <c r="E4" s="137"/>
      <c r="F4" s="138"/>
      <c r="G4" s="137"/>
      <c r="H4" s="139"/>
      <c r="I4" s="140"/>
      <c r="J4" s="140"/>
      <c r="K4" s="141"/>
      <c r="L4" s="137"/>
      <c r="M4" s="137"/>
      <c r="N4" s="3"/>
      <c r="O4" s="2"/>
      <c r="P4" s="2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6.5" customHeight="1" thickBot="1" x14ac:dyDescent="0.25">
      <c r="A5" s="60" t="s">
        <v>2</v>
      </c>
      <c r="B5" s="142" t="s">
        <v>8</v>
      </c>
      <c r="C5" s="143"/>
      <c r="D5" s="143"/>
      <c r="E5" s="144"/>
      <c r="F5" s="145" t="s">
        <v>0</v>
      </c>
      <c r="G5" s="144"/>
      <c r="H5" s="145" t="s">
        <v>9</v>
      </c>
      <c r="I5" s="143"/>
      <c r="J5" s="144"/>
      <c r="K5" s="145" t="s">
        <v>4</v>
      </c>
      <c r="L5" s="143"/>
      <c r="M5" s="144"/>
      <c r="N5" s="6" t="s">
        <v>5</v>
      </c>
      <c r="O5" s="135" t="s">
        <v>6</v>
      </c>
      <c r="P5" s="78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5.75" customHeight="1" x14ac:dyDescent="0.2">
      <c r="A6" s="26" t="s">
        <v>65</v>
      </c>
      <c r="B6" s="129" t="s">
        <v>10</v>
      </c>
      <c r="C6" s="92"/>
      <c r="D6" s="92"/>
      <c r="E6" s="78"/>
      <c r="F6" s="130" t="s">
        <v>0</v>
      </c>
      <c r="G6" s="78"/>
      <c r="H6" s="131" t="s">
        <v>11</v>
      </c>
      <c r="I6" s="92"/>
      <c r="J6" s="78"/>
      <c r="K6" s="131"/>
      <c r="L6" s="92"/>
      <c r="M6" s="78"/>
      <c r="N6" s="13"/>
      <c r="O6" s="131"/>
      <c r="P6" s="78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5.75" customHeight="1" x14ac:dyDescent="0.2">
      <c r="A7" s="26" t="s">
        <v>66</v>
      </c>
      <c r="B7" s="129" t="s">
        <v>12</v>
      </c>
      <c r="C7" s="92"/>
      <c r="D7" s="92"/>
      <c r="E7" s="78"/>
      <c r="F7" s="130" t="s">
        <v>0</v>
      </c>
      <c r="G7" s="78"/>
      <c r="H7" s="131" t="s">
        <v>11</v>
      </c>
      <c r="I7" s="92"/>
      <c r="J7" s="78"/>
      <c r="K7" s="131"/>
      <c r="L7" s="92"/>
      <c r="M7" s="78"/>
      <c r="N7" s="13"/>
      <c r="O7" s="131"/>
      <c r="P7" s="78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5.75" customHeight="1" x14ac:dyDescent="0.2">
      <c r="A8" s="26" t="s">
        <v>67</v>
      </c>
      <c r="B8" s="129" t="s">
        <v>13</v>
      </c>
      <c r="C8" s="92"/>
      <c r="D8" s="92"/>
      <c r="E8" s="78"/>
      <c r="F8" s="130" t="s">
        <v>0</v>
      </c>
      <c r="G8" s="78"/>
      <c r="H8" s="131" t="s">
        <v>11</v>
      </c>
      <c r="I8" s="92"/>
      <c r="J8" s="78"/>
      <c r="K8" s="132"/>
      <c r="L8" s="92"/>
      <c r="M8" s="78"/>
      <c r="N8" s="13"/>
      <c r="O8" s="133"/>
      <c r="P8" s="78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5.75" customHeight="1" x14ac:dyDescent="0.2">
      <c r="A9" s="12"/>
      <c r="B9" s="129"/>
      <c r="C9" s="92"/>
      <c r="D9" s="92"/>
      <c r="E9" s="78"/>
      <c r="F9" s="130"/>
      <c r="G9" s="78"/>
      <c r="H9" s="131"/>
      <c r="I9" s="92"/>
      <c r="J9" s="78"/>
      <c r="K9" s="132"/>
      <c r="L9" s="92"/>
      <c r="M9" s="78"/>
      <c r="N9" s="13"/>
      <c r="O9" s="133"/>
      <c r="P9" s="78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15.75" customHeight="1" x14ac:dyDescent="0.2">
      <c r="A10" s="12"/>
      <c r="B10" s="129"/>
      <c r="C10" s="92"/>
      <c r="D10" s="92"/>
      <c r="E10" s="78"/>
      <c r="F10" s="130"/>
      <c r="G10" s="78"/>
      <c r="H10" s="131"/>
      <c r="I10" s="92"/>
      <c r="J10" s="78"/>
      <c r="K10" s="134"/>
      <c r="L10" s="92"/>
      <c r="M10" s="78"/>
      <c r="N10" s="13"/>
      <c r="O10" s="131"/>
      <c r="P10" s="78"/>
      <c r="Q10" s="4" t="s">
        <v>14</v>
      </c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5.75" customHeight="1" x14ac:dyDescent="0.2">
      <c r="A11" s="12"/>
      <c r="B11" s="129"/>
      <c r="C11" s="92"/>
      <c r="D11" s="92"/>
      <c r="E11" s="78"/>
      <c r="F11" s="130"/>
      <c r="G11" s="78"/>
      <c r="H11" s="131"/>
      <c r="I11" s="92"/>
      <c r="J11" s="78"/>
      <c r="K11" s="132"/>
      <c r="L11" s="92"/>
      <c r="M11" s="78"/>
      <c r="N11" s="13"/>
      <c r="O11" s="133"/>
      <c r="P11" s="78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</sheetData>
  <mergeCells count="49">
    <mergeCell ref="B3:E3"/>
    <mergeCell ref="F3:G3"/>
    <mergeCell ref="H3:J3"/>
    <mergeCell ref="K3:M3"/>
    <mergeCell ref="O3:P3"/>
    <mergeCell ref="B2:E2"/>
    <mergeCell ref="F2:G2"/>
    <mergeCell ref="H2:J2"/>
    <mergeCell ref="K2:M2"/>
    <mergeCell ref="O2:P2"/>
    <mergeCell ref="B4:E4"/>
    <mergeCell ref="F4:G4"/>
    <mergeCell ref="H4:J4"/>
    <mergeCell ref="K4:M4"/>
    <mergeCell ref="B5:E5"/>
    <mergeCell ref="F5:G5"/>
    <mergeCell ref="H5:J5"/>
    <mergeCell ref="K5:M5"/>
    <mergeCell ref="O5:P5"/>
    <mergeCell ref="B6:E6"/>
    <mergeCell ref="F6:G6"/>
    <mergeCell ref="H6:J6"/>
    <mergeCell ref="K6:M6"/>
    <mergeCell ref="O6:P6"/>
    <mergeCell ref="B8:E8"/>
    <mergeCell ref="F8:G8"/>
    <mergeCell ref="H8:J8"/>
    <mergeCell ref="K8:M8"/>
    <mergeCell ref="O8:P8"/>
    <mergeCell ref="B7:E7"/>
    <mergeCell ref="F7:G7"/>
    <mergeCell ref="H7:J7"/>
    <mergeCell ref="K7:M7"/>
    <mergeCell ref="O7:P7"/>
    <mergeCell ref="B10:E10"/>
    <mergeCell ref="F10:G10"/>
    <mergeCell ref="H10:J10"/>
    <mergeCell ref="K10:M10"/>
    <mergeCell ref="O10:P10"/>
    <mergeCell ref="B9:E9"/>
    <mergeCell ref="F9:G9"/>
    <mergeCell ref="H9:J9"/>
    <mergeCell ref="K9:M9"/>
    <mergeCell ref="O9:P9"/>
    <mergeCell ref="B11:E11"/>
    <mergeCell ref="F11:G11"/>
    <mergeCell ref="H11:J11"/>
    <mergeCell ref="K11:M11"/>
    <mergeCell ref="O11:P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EFCF4-DF61-49B4-9D32-B5934616C618}">
  <dimension ref="A1:AA19"/>
  <sheetViews>
    <sheetView workbookViewId="0">
      <selection activeCell="A8" sqref="A8"/>
    </sheetView>
  </sheetViews>
  <sheetFormatPr defaultColWidth="14.42578125" defaultRowHeight="15" customHeight="1" x14ac:dyDescent="0.2"/>
  <cols>
    <col min="1" max="1" width="7.85546875" customWidth="1"/>
    <col min="2" max="4" width="9.140625" customWidth="1"/>
    <col min="5" max="5" width="19.42578125" customWidth="1"/>
    <col min="6" max="6" width="9.28515625" customWidth="1"/>
    <col min="7" max="13" width="9.140625" customWidth="1"/>
    <col min="14" max="14" width="13.28515625" customWidth="1"/>
    <col min="15" max="15" width="9.140625" customWidth="1"/>
    <col min="16" max="16" width="18.28515625" customWidth="1"/>
    <col min="17" max="27" width="9.140625" customWidth="1"/>
  </cols>
  <sheetData>
    <row r="1" spans="1:27" ht="15.75" thickBot="1" x14ac:dyDescent="0.25">
      <c r="A1" s="2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54" customHeight="1" thickBot="1" x14ac:dyDescent="0.3">
      <c r="A2" s="5" t="s">
        <v>2</v>
      </c>
      <c r="B2" s="146" t="s">
        <v>3</v>
      </c>
      <c r="C2" s="147"/>
      <c r="D2" s="147"/>
      <c r="E2" s="147"/>
      <c r="F2" s="148" t="s">
        <v>0</v>
      </c>
      <c r="G2" s="147"/>
      <c r="H2" s="149" t="s">
        <v>1</v>
      </c>
      <c r="I2" s="150"/>
      <c r="J2" s="150"/>
      <c r="K2" s="148" t="s">
        <v>4</v>
      </c>
      <c r="L2" s="147"/>
      <c r="M2" s="151"/>
      <c r="N2" s="6" t="s">
        <v>5</v>
      </c>
      <c r="O2" s="152" t="s">
        <v>6</v>
      </c>
      <c r="P2" s="151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41.25" customHeight="1" thickBot="1" x14ac:dyDescent="0.25">
      <c r="A3" s="27"/>
      <c r="B3" s="63"/>
      <c r="C3" s="64"/>
      <c r="D3" s="64"/>
      <c r="E3" s="65"/>
      <c r="F3" s="66"/>
      <c r="G3" s="65"/>
      <c r="H3" s="67"/>
      <c r="I3" s="64"/>
      <c r="J3" s="65"/>
      <c r="K3" s="67"/>
      <c r="L3" s="64"/>
      <c r="M3" s="65"/>
      <c r="N3" s="8"/>
      <c r="O3" s="153"/>
      <c r="P3" s="78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7.5" customHeight="1" thickBot="1" x14ac:dyDescent="0.25">
      <c r="A4" s="10"/>
      <c r="B4" s="136"/>
      <c r="C4" s="137"/>
      <c r="D4" s="137"/>
      <c r="E4" s="137"/>
      <c r="F4" s="138"/>
      <c r="G4" s="137"/>
      <c r="H4" s="139"/>
      <c r="I4" s="140"/>
      <c r="J4" s="140"/>
      <c r="K4" s="141"/>
      <c r="L4" s="137"/>
      <c r="M4" s="137"/>
      <c r="N4" s="3"/>
      <c r="O4" s="2"/>
      <c r="P4" s="2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6.5" customHeight="1" thickBot="1" x14ac:dyDescent="0.25">
      <c r="A5" s="60" t="s">
        <v>2</v>
      </c>
      <c r="B5" s="142" t="s">
        <v>8</v>
      </c>
      <c r="C5" s="143"/>
      <c r="D5" s="143"/>
      <c r="E5" s="144"/>
      <c r="F5" s="145" t="s">
        <v>0</v>
      </c>
      <c r="G5" s="144"/>
      <c r="H5" s="145" t="s">
        <v>9</v>
      </c>
      <c r="I5" s="143"/>
      <c r="J5" s="144"/>
      <c r="K5" s="145" t="s">
        <v>4</v>
      </c>
      <c r="L5" s="143"/>
      <c r="M5" s="144"/>
      <c r="N5" s="6" t="s">
        <v>5</v>
      </c>
      <c r="O5" s="135" t="s">
        <v>6</v>
      </c>
      <c r="P5" s="78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5.75" customHeight="1" x14ac:dyDescent="0.2">
      <c r="A6" s="26" t="s">
        <v>68</v>
      </c>
      <c r="B6" s="129" t="s">
        <v>10</v>
      </c>
      <c r="C6" s="92"/>
      <c r="D6" s="92"/>
      <c r="E6" s="78"/>
      <c r="F6" s="130" t="s">
        <v>0</v>
      </c>
      <c r="G6" s="78"/>
      <c r="H6" s="131" t="s">
        <v>11</v>
      </c>
      <c r="I6" s="92"/>
      <c r="J6" s="78"/>
      <c r="K6" s="131"/>
      <c r="L6" s="92"/>
      <c r="M6" s="78"/>
      <c r="N6" s="13"/>
      <c r="O6" s="131"/>
      <c r="P6" s="78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5.75" customHeight="1" x14ac:dyDescent="0.2">
      <c r="A7" s="26" t="s">
        <v>69</v>
      </c>
      <c r="B7" s="129" t="s">
        <v>12</v>
      </c>
      <c r="C7" s="92"/>
      <c r="D7" s="92"/>
      <c r="E7" s="78"/>
      <c r="F7" s="130" t="s">
        <v>0</v>
      </c>
      <c r="G7" s="78"/>
      <c r="H7" s="131" t="s">
        <v>11</v>
      </c>
      <c r="I7" s="92"/>
      <c r="J7" s="78"/>
      <c r="K7" s="131"/>
      <c r="L7" s="92"/>
      <c r="M7" s="78"/>
      <c r="N7" s="13"/>
      <c r="O7" s="131"/>
      <c r="P7" s="78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5.75" customHeight="1" x14ac:dyDescent="0.2">
      <c r="A8" s="26" t="s">
        <v>70</v>
      </c>
      <c r="B8" s="129" t="s">
        <v>13</v>
      </c>
      <c r="C8" s="92"/>
      <c r="D8" s="92"/>
      <c r="E8" s="78"/>
      <c r="F8" s="130" t="s">
        <v>0</v>
      </c>
      <c r="G8" s="78"/>
      <c r="H8" s="131" t="s">
        <v>11</v>
      </c>
      <c r="I8" s="92"/>
      <c r="J8" s="78"/>
      <c r="K8" s="132"/>
      <c r="L8" s="92"/>
      <c r="M8" s="78"/>
      <c r="N8" s="13"/>
      <c r="O8" s="133"/>
      <c r="P8" s="78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5.75" customHeight="1" x14ac:dyDescent="0.2">
      <c r="A9" s="12"/>
      <c r="B9" s="129"/>
      <c r="C9" s="92"/>
      <c r="D9" s="92"/>
      <c r="E9" s="78"/>
      <c r="F9" s="130"/>
      <c r="G9" s="78"/>
      <c r="H9" s="131"/>
      <c r="I9" s="92"/>
      <c r="J9" s="78"/>
      <c r="K9" s="132"/>
      <c r="L9" s="92"/>
      <c r="M9" s="78"/>
      <c r="N9" s="13"/>
      <c r="O9" s="133"/>
      <c r="P9" s="78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15.75" customHeight="1" x14ac:dyDescent="0.2">
      <c r="A10" s="12"/>
      <c r="B10" s="129"/>
      <c r="C10" s="92"/>
      <c r="D10" s="92"/>
      <c r="E10" s="78"/>
      <c r="F10" s="130"/>
      <c r="G10" s="78"/>
      <c r="H10" s="131"/>
      <c r="I10" s="92"/>
      <c r="J10" s="78"/>
      <c r="K10" s="134"/>
      <c r="L10" s="92"/>
      <c r="M10" s="78"/>
      <c r="N10" s="13"/>
      <c r="O10" s="131"/>
      <c r="P10" s="78"/>
      <c r="Q10" s="4" t="s">
        <v>14</v>
      </c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5.75" customHeight="1" x14ac:dyDescent="0.2">
      <c r="A11" s="12"/>
      <c r="B11" s="129"/>
      <c r="C11" s="92"/>
      <c r="D11" s="92"/>
      <c r="E11" s="78"/>
      <c r="F11" s="130"/>
      <c r="G11" s="78"/>
      <c r="H11" s="131"/>
      <c r="I11" s="92"/>
      <c r="J11" s="78"/>
      <c r="K11" s="132"/>
      <c r="L11" s="92"/>
      <c r="M11" s="78"/>
      <c r="N11" s="13"/>
      <c r="O11" s="133"/>
      <c r="P11" s="78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</sheetData>
  <mergeCells count="49">
    <mergeCell ref="B3:E3"/>
    <mergeCell ref="F3:G3"/>
    <mergeCell ref="H3:J3"/>
    <mergeCell ref="K3:M3"/>
    <mergeCell ref="O3:P3"/>
    <mergeCell ref="B2:E2"/>
    <mergeCell ref="F2:G2"/>
    <mergeCell ref="H2:J2"/>
    <mergeCell ref="K2:M2"/>
    <mergeCell ref="O2:P2"/>
    <mergeCell ref="B4:E4"/>
    <mergeCell ref="F4:G4"/>
    <mergeCell ref="H4:J4"/>
    <mergeCell ref="K4:M4"/>
    <mergeCell ref="B5:E5"/>
    <mergeCell ref="F5:G5"/>
    <mergeCell ref="H5:J5"/>
    <mergeCell ref="K5:M5"/>
    <mergeCell ref="O5:P5"/>
    <mergeCell ref="B6:E6"/>
    <mergeCell ref="F6:G6"/>
    <mergeCell ref="H6:J6"/>
    <mergeCell ref="K6:M6"/>
    <mergeCell ref="O6:P6"/>
    <mergeCell ref="B8:E8"/>
    <mergeCell ref="F8:G8"/>
    <mergeCell ref="H8:J8"/>
    <mergeCell ref="K8:M8"/>
    <mergeCell ref="O8:P8"/>
    <mergeCell ref="B7:E7"/>
    <mergeCell ref="F7:G7"/>
    <mergeCell ref="H7:J7"/>
    <mergeCell ref="K7:M7"/>
    <mergeCell ref="O7:P7"/>
    <mergeCell ref="B10:E10"/>
    <mergeCell ref="F10:G10"/>
    <mergeCell ref="H10:J10"/>
    <mergeCell ref="K10:M10"/>
    <mergeCell ref="O10:P10"/>
    <mergeCell ref="B9:E9"/>
    <mergeCell ref="F9:G9"/>
    <mergeCell ref="H9:J9"/>
    <mergeCell ref="K9:M9"/>
    <mergeCell ref="O9:P9"/>
    <mergeCell ref="B11:E11"/>
    <mergeCell ref="F11:G11"/>
    <mergeCell ref="H11:J11"/>
    <mergeCell ref="K11:M11"/>
    <mergeCell ref="O11:P1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8212E-5C49-4CF2-847B-0D893AEB2FEA}">
  <dimension ref="A1:AA19"/>
  <sheetViews>
    <sheetView workbookViewId="0">
      <selection activeCell="A8" sqref="A8"/>
    </sheetView>
  </sheetViews>
  <sheetFormatPr defaultColWidth="14.42578125" defaultRowHeight="15" customHeight="1" x14ac:dyDescent="0.2"/>
  <cols>
    <col min="1" max="1" width="7.85546875" customWidth="1"/>
    <col min="2" max="4" width="9.140625" customWidth="1"/>
    <col min="5" max="5" width="19.42578125" customWidth="1"/>
    <col min="6" max="6" width="9.28515625" customWidth="1"/>
    <col min="7" max="13" width="9.140625" customWidth="1"/>
    <col min="14" max="14" width="13.28515625" customWidth="1"/>
    <col min="15" max="15" width="9.140625" customWidth="1"/>
    <col min="16" max="16" width="18.28515625" customWidth="1"/>
    <col min="17" max="27" width="9.140625" customWidth="1"/>
  </cols>
  <sheetData>
    <row r="1" spans="1:27" ht="15.75" thickBot="1" x14ac:dyDescent="0.25">
      <c r="A1" s="2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54" customHeight="1" thickBot="1" x14ac:dyDescent="0.3">
      <c r="A2" s="5" t="s">
        <v>2</v>
      </c>
      <c r="B2" s="146" t="s">
        <v>3</v>
      </c>
      <c r="C2" s="147"/>
      <c r="D2" s="147"/>
      <c r="E2" s="147"/>
      <c r="F2" s="148" t="s">
        <v>0</v>
      </c>
      <c r="G2" s="147"/>
      <c r="H2" s="149" t="s">
        <v>1</v>
      </c>
      <c r="I2" s="150"/>
      <c r="J2" s="150"/>
      <c r="K2" s="148" t="s">
        <v>4</v>
      </c>
      <c r="L2" s="147"/>
      <c r="M2" s="151"/>
      <c r="N2" s="6" t="s">
        <v>5</v>
      </c>
      <c r="O2" s="152" t="s">
        <v>6</v>
      </c>
      <c r="P2" s="151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41.25" customHeight="1" thickBot="1" x14ac:dyDescent="0.25">
      <c r="A3" s="27"/>
      <c r="B3" s="63"/>
      <c r="C3" s="64"/>
      <c r="D3" s="64"/>
      <c r="E3" s="65"/>
      <c r="F3" s="66"/>
      <c r="G3" s="65"/>
      <c r="H3" s="67"/>
      <c r="I3" s="64"/>
      <c r="J3" s="65"/>
      <c r="K3" s="67"/>
      <c r="L3" s="64"/>
      <c r="M3" s="65"/>
      <c r="N3" s="8"/>
      <c r="O3" s="153"/>
      <c r="P3" s="78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7.5" customHeight="1" thickBot="1" x14ac:dyDescent="0.25">
      <c r="A4" s="10"/>
      <c r="B4" s="136"/>
      <c r="C4" s="137"/>
      <c r="D4" s="137"/>
      <c r="E4" s="137"/>
      <c r="F4" s="138"/>
      <c r="G4" s="137"/>
      <c r="H4" s="139"/>
      <c r="I4" s="140"/>
      <c r="J4" s="140"/>
      <c r="K4" s="141"/>
      <c r="L4" s="137"/>
      <c r="M4" s="137"/>
      <c r="N4" s="3"/>
      <c r="O4" s="2"/>
      <c r="P4" s="2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6.5" customHeight="1" thickBot="1" x14ac:dyDescent="0.25">
      <c r="A5" s="60" t="s">
        <v>2</v>
      </c>
      <c r="B5" s="142" t="s">
        <v>8</v>
      </c>
      <c r="C5" s="143"/>
      <c r="D5" s="143"/>
      <c r="E5" s="144"/>
      <c r="F5" s="145" t="s">
        <v>0</v>
      </c>
      <c r="G5" s="144"/>
      <c r="H5" s="145" t="s">
        <v>9</v>
      </c>
      <c r="I5" s="143"/>
      <c r="J5" s="144"/>
      <c r="K5" s="145" t="s">
        <v>4</v>
      </c>
      <c r="L5" s="143"/>
      <c r="M5" s="144"/>
      <c r="N5" s="6" t="s">
        <v>5</v>
      </c>
      <c r="O5" s="135" t="s">
        <v>6</v>
      </c>
      <c r="P5" s="78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5.75" customHeight="1" x14ac:dyDescent="0.2">
      <c r="A6" s="26" t="s">
        <v>71</v>
      </c>
      <c r="B6" s="129" t="s">
        <v>10</v>
      </c>
      <c r="C6" s="92"/>
      <c r="D6" s="92"/>
      <c r="E6" s="78"/>
      <c r="F6" s="130" t="s">
        <v>0</v>
      </c>
      <c r="G6" s="78"/>
      <c r="H6" s="131" t="s">
        <v>11</v>
      </c>
      <c r="I6" s="92"/>
      <c r="J6" s="78"/>
      <c r="K6" s="131"/>
      <c r="L6" s="92"/>
      <c r="M6" s="78"/>
      <c r="N6" s="13"/>
      <c r="O6" s="131"/>
      <c r="P6" s="78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5.75" customHeight="1" x14ac:dyDescent="0.2">
      <c r="A7" s="26" t="s">
        <v>72</v>
      </c>
      <c r="B7" s="129" t="s">
        <v>12</v>
      </c>
      <c r="C7" s="92"/>
      <c r="D7" s="92"/>
      <c r="E7" s="78"/>
      <c r="F7" s="130" t="s">
        <v>0</v>
      </c>
      <c r="G7" s="78"/>
      <c r="H7" s="131" t="s">
        <v>11</v>
      </c>
      <c r="I7" s="92"/>
      <c r="J7" s="78"/>
      <c r="K7" s="131"/>
      <c r="L7" s="92"/>
      <c r="M7" s="78"/>
      <c r="N7" s="13"/>
      <c r="O7" s="131"/>
      <c r="P7" s="78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5.75" customHeight="1" x14ac:dyDescent="0.2">
      <c r="A8" s="26" t="s">
        <v>73</v>
      </c>
      <c r="B8" s="129" t="s">
        <v>13</v>
      </c>
      <c r="C8" s="92"/>
      <c r="D8" s="92"/>
      <c r="E8" s="78"/>
      <c r="F8" s="130" t="s">
        <v>0</v>
      </c>
      <c r="G8" s="78"/>
      <c r="H8" s="131" t="s">
        <v>11</v>
      </c>
      <c r="I8" s="92"/>
      <c r="J8" s="78"/>
      <c r="K8" s="132"/>
      <c r="L8" s="92"/>
      <c r="M8" s="78"/>
      <c r="N8" s="13"/>
      <c r="O8" s="133"/>
      <c r="P8" s="78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5.75" customHeight="1" x14ac:dyDescent="0.2">
      <c r="A9" s="12"/>
      <c r="B9" s="129"/>
      <c r="C9" s="92"/>
      <c r="D9" s="92"/>
      <c r="E9" s="78"/>
      <c r="F9" s="130"/>
      <c r="G9" s="78"/>
      <c r="H9" s="131"/>
      <c r="I9" s="92"/>
      <c r="J9" s="78"/>
      <c r="K9" s="132"/>
      <c r="L9" s="92"/>
      <c r="M9" s="78"/>
      <c r="N9" s="13"/>
      <c r="O9" s="133"/>
      <c r="P9" s="78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15.75" customHeight="1" x14ac:dyDescent="0.2">
      <c r="A10" s="12"/>
      <c r="B10" s="129"/>
      <c r="C10" s="92"/>
      <c r="D10" s="92"/>
      <c r="E10" s="78"/>
      <c r="F10" s="130"/>
      <c r="G10" s="78"/>
      <c r="H10" s="131"/>
      <c r="I10" s="92"/>
      <c r="J10" s="78"/>
      <c r="K10" s="134"/>
      <c r="L10" s="92"/>
      <c r="M10" s="78"/>
      <c r="N10" s="13"/>
      <c r="O10" s="131"/>
      <c r="P10" s="78"/>
      <c r="Q10" s="4" t="s">
        <v>14</v>
      </c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5.75" customHeight="1" x14ac:dyDescent="0.2">
      <c r="A11" s="12"/>
      <c r="B11" s="129"/>
      <c r="C11" s="92"/>
      <c r="D11" s="92"/>
      <c r="E11" s="78"/>
      <c r="F11" s="130"/>
      <c r="G11" s="78"/>
      <c r="H11" s="131"/>
      <c r="I11" s="92"/>
      <c r="J11" s="78"/>
      <c r="K11" s="132"/>
      <c r="L11" s="92"/>
      <c r="M11" s="78"/>
      <c r="N11" s="13"/>
      <c r="O11" s="133"/>
      <c r="P11" s="78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</sheetData>
  <mergeCells count="49">
    <mergeCell ref="B3:E3"/>
    <mergeCell ref="F3:G3"/>
    <mergeCell ref="H3:J3"/>
    <mergeCell ref="K3:M3"/>
    <mergeCell ref="O3:P3"/>
    <mergeCell ref="B2:E2"/>
    <mergeCell ref="F2:G2"/>
    <mergeCell ref="H2:J2"/>
    <mergeCell ref="K2:M2"/>
    <mergeCell ref="O2:P2"/>
    <mergeCell ref="B4:E4"/>
    <mergeCell ref="F4:G4"/>
    <mergeCell ref="H4:J4"/>
    <mergeCell ref="K4:M4"/>
    <mergeCell ref="B5:E5"/>
    <mergeCell ref="F5:G5"/>
    <mergeCell ref="H5:J5"/>
    <mergeCell ref="K5:M5"/>
    <mergeCell ref="O5:P5"/>
    <mergeCell ref="B6:E6"/>
    <mergeCell ref="F6:G6"/>
    <mergeCell ref="H6:J6"/>
    <mergeCell ref="K6:M6"/>
    <mergeCell ref="O6:P6"/>
    <mergeCell ref="B8:E8"/>
    <mergeCell ref="F8:G8"/>
    <mergeCell ref="H8:J8"/>
    <mergeCell ref="K8:M8"/>
    <mergeCell ref="O8:P8"/>
    <mergeCell ref="B7:E7"/>
    <mergeCell ref="F7:G7"/>
    <mergeCell ref="H7:J7"/>
    <mergeCell ref="K7:M7"/>
    <mergeCell ref="O7:P7"/>
    <mergeCell ref="B10:E10"/>
    <mergeCell ref="F10:G10"/>
    <mergeCell ref="H10:J10"/>
    <mergeCell ref="K10:M10"/>
    <mergeCell ref="O10:P10"/>
    <mergeCell ref="B9:E9"/>
    <mergeCell ref="F9:G9"/>
    <mergeCell ref="H9:J9"/>
    <mergeCell ref="K9:M9"/>
    <mergeCell ref="O9:P9"/>
    <mergeCell ref="B11:E11"/>
    <mergeCell ref="F11:G11"/>
    <mergeCell ref="H11:J11"/>
    <mergeCell ref="K11:M11"/>
    <mergeCell ref="O11:P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C2839-8CFF-4882-AB30-1A8FA0409441}">
  <dimension ref="A1:AA19"/>
  <sheetViews>
    <sheetView workbookViewId="0">
      <selection activeCell="A8" sqref="A8"/>
    </sheetView>
  </sheetViews>
  <sheetFormatPr defaultColWidth="14.42578125" defaultRowHeight="15" customHeight="1" x14ac:dyDescent="0.2"/>
  <cols>
    <col min="1" max="1" width="7.85546875" customWidth="1"/>
    <col min="2" max="4" width="9.140625" customWidth="1"/>
    <col min="5" max="5" width="19.42578125" customWidth="1"/>
    <col min="6" max="6" width="9.28515625" customWidth="1"/>
    <col min="7" max="13" width="9.140625" customWidth="1"/>
    <col min="14" max="14" width="13.28515625" customWidth="1"/>
    <col min="15" max="15" width="9.140625" customWidth="1"/>
    <col min="16" max="16" width="18.28515625" customWidth="1"/>
    <col min="17" max="27" width="9.140625" customWidth="1"/>
  </cols>
  <sheetData>
    <row r="1" spans="1:27" ht="15.75" thickBot="1" x14ac:dyDescent="0.25">
      <c r="A1" s="2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54" customHeight="1" thickBot="1" x14ac:dyDescent="0.3">
      <c r="A2" s="5" t="s">
        <v>2</v>
      </c>
      <c r="B2" s="146" t="s">
        <v>3</v>
      </c>
      <c r="C2" s="147"/>
      <c r="D2" s="147"/>
      <c r="E2" s="147"/>
      <c r="F2" s="148" t="s">
        <v>0</v>
      </c>
      <c r="G2" s="147"/>
      <c r="H2" s="149" t="s">
        <v>1</v>
      </c>
      <c r="I2" s="150"/>
      <c r="J2" s="150"/>
      <c r="K2" s="148" t="s">
        <v>4</v>
      </c>
      <c r="L2" s="147"/>
      <c r="M2" s="151"/>
      <c r="N2" s="6" t="s">
        <v>5</v>
      </c>
      <c r="O2" s="152" t="s">
        <v>6</v>
      </c>
      <c r="P2" s="151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41.25" customHeight="1" thickBot="1" x14ac:dyDescent="0.25">
      <c r="A3" s="27"/>
      <c r="B3" s="63"/>
      <c r="C3" s="64"/>
      <c r="D3" s="64"/>
      <c r="E3" s="65"/>
      <c r="F3" s="66"/>
      <c r="G3" s="65"/>
      <c r="H3" s="67"/>
      <c r="I3" s="64"/>
      <c r="J3" s="65"/>
      <c r="K3" s="67"/>
      <c r="L3" s="64"/>
      <c r="M3" s="65"/>
      <c r="N3" s="8"/>
      <c r="O3" s="153"/>
      <c r="P3" s="78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7.5" customHeight="1" thickBot="1" x14ac:dyDescent="0.25">
      <c r="A4" s="10"/>
      <c r="B4" s="136"/>
      <c r="C4" s="137"/>
      <c r="D4" s="137"/>
      <c r="E4" s="137"/>
      <c r="F4" s="138"/>
      <c r="G4" s="137"/>
      <c r="H4" s="139"/>
      <c r="I4" s="140"/>
      <c r="J4" s="140"/>
      <c r="K4" s="141"/>
      <c r="L4" s="137"/>
      <c r="M4" s="137"/>
      <c r="N4" s="3"/>
      <c r="O4" s="2"/>
      <c r="P4" s="2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6.5" customHeight="1" thickBot="1" x14ac:dyDescent="0.25">
      <c r="A5" s="60" t="s">
        <v>2</v>
      </c>
      <c r="B5" s="142" t="s">
        <v>8</v>
      </c>
      <c r="C5" s="143"/>
      <c r="D5" s="143"/>
      <c r="E5" s="144"/>
      <c r="F5" s="145" t="s">
        <v>0</v>
      </c>
      <c r="G5" s="144"/>
      <c r="H5" s="145" t="s">
        <v>9</v>
      </c>
      <c r="I5" s="143"/>
      <c r="J5" s="144"/>
      <c r="K5" s="145" t="s">
        <v>4</v>
      </c>
      <c r="L5" s="143"/>
      <c r="M5" s="144"/>
      <c r="N5" s="6" t="s">
        <v>5</v>
      </c>
      <c r="O5" s="135" t="s">
        <v>6</v>
      </c>
      <c r="P5" s="78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5.75" customHeight="1" x14ac:dyDescent="0.2">
      <c r="A6" s="26" t="s">
        <v>74</v>
      </c>
      <c r="B6" s="129" t="s">
        <v>10</v>
      </c>
      <c r="C6" s="92"/>
      <c r="D6" s="92"/>
      <c r="E6" s="78"/>
      <c r="F6" s="130" t="s">
        <v>0</v>
      </c>
      <c r="G6" s="78"/>
      <c r="H6" s="131" t="s">
        <v>11</v>
      </c>
      <c r="I6" s="92"/>
      <c r="J6" s="78"/>
      <c r="K6" s="131"/>
      <c r="L6" s="92"/>
      <c r="M6" s="78"/>
      <c r="N6" s="13"/>
      <c r="O6" s="131"/>
      <c r="P6" s="78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5.75" customHeight="1" x14ac:dyDescent="0.2">
      <c r="A7" s="26" t="s">
        <v>75</v>
      </c>
      <c r="B7" s="129" t="s">
        <v>12</v>
      </c>
      <c r="C7" s="92"/>
      <c r="D7" s="92"/>
      <c r="E7" s="78"/>
      <c r="F7" s="130" t="s">
        <v>0</v>
      </c>
      <c r="G7" s="78"/>
      <c r="H7" s="131" t="s">
        <v>11</v>
      </c>
      <c r="I7" s="92"/>
      <c r="J7" s="78"/>
      <c r="K7" s="131"/>
      <c r="L7" s="92"/>
      <c r="M7" s="78"/>
      <c r="N7" s="13"/>
      <c r="O7" s="131"/>
      <c r="P7" s="78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5.75" customHeight="1" x14ac:dyDescent="0.2">
      <c r="A8" s="26" t="s">
        <v>76</v>
      </c>
      <c r="B8" s="129" t="s">
        <v>13</v>
      </c>
      <c r="C8" s="92"/>
      <c r="D8" s="92"/>
      <c r="E8" s="78"/>
      <c r="F8" s="130" t="s">
        <v>0</v>
      </c>
      <c r="G8" s="78"/>
      <c r="H8" s="131" t="s">
        <v>11</v>
      </c>
      <c r="I8" s="92"/>
      <c r="J8" s="78"/>
      <c r="K8" s="132"/>
      <c r="L8" s="92"/>
      <c r="M8" s="78"/>
      <c r="N8" s="13"/>
      <c r="O8" s="133"/>
      <c r="P8" s="78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5.75" customHeight="1" x14ac:dyDescent="0.2">
      <c r="A9" s="12"/>
      <c r="B9" s="129"/>
      <c r="C9" s="92"/>
      <c r="D9" s="92"/>
      <c r="E9" s="78"/>
      <c r="F9" s="130"/>
      <c r="G9" s="78"/>
      <c r="H9" s="131"/>
      <c r="I9" s="92"/>
      <c r="J9" s="78"/>
      <c r="K9" s="132"/>
      <c r="L9" s="92"/>
      <c r="M9" s="78"/>
      <c r="N9" s="13"/>
      <c r="O9" s="133"/>
      <c r="P9" s="78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15.75" customHeight="1" x14ac:dyDescent="0.2">
      <c r="A10" s="12"/>
      <c r="B10" s="129"/>
      <c r="C10" s="92"/>
      <c r="D10" s="92"/>
      <c r="E10" s="78"/>
      <c r="F10" s="130"/>
      <c r="G10" s="78"/>
      <c r="H10" s="131"/>
      <c r="I10" s="92"/>
      <c r="J10" s="78"/>
      <c r="K10" s="134"/>
      <c r="L10" s="92"/>
      <c r="M10" s="78"/>
      <c r="N10" s="13"/>
      <c r="O10" s="131"/>
      <c r="P10" s="78"/>
      <c r="Q10" s="4" t="s">
        <v>14</v>
      </c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5.75" customHeight="1" x14ac:dyDescent="0.2">
      <c r="A11" s="12"/>
      <c r="B11" s="129"/>
      <c r="C11" s="92"/>
      <c r="D11" s="92"/>
      <c r="E11" s="78"/>
      <c r="F11" s="130"/>
      <c r="G11" s="78"/>
      <c r="H11" s="131"/>
      <c r="I11" s="92"/>
      <c r="J11" s="78"/>
      <c r="K11" s="132"/>
      <c r="L11" s="92"/>
      <c r="M11" s="78"/>
      <c r="N11" s="13"/>
      <c r="O11" s="133"/>
      <c r="P11" s="78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</sheetData>
  <mergeCells count="49">
    <mergeCell ref="B3:E3"/>
    <mergeCell ref="F3:G3"/>
    <mergeCell ref="H3:J3"/>
    <mergeCell ref="K3:M3"/>
    <mergeCell ref="O3:P3"/>
    <mergeCell ref="B2:E2"/>
    <mergeCell ref="F2:G2"/>
    <mergeCell ref="H2:J2"/>
    <mergeCell ref="K2:M2"/>
    <mergeCell ref="O2:P2"/>
    <mergeCell ref="B4:E4"/>
    <mergeCell ref="F4:G4"/>
    <mergeCell ref="H4:J4"/>
    <mergeCell ref="K4:M4"/>
    <mergeCell ref="B5:E5"/>
    <mergeCell ref="F5:G5"/>
    <mergeCell ref="H5:J5"/>
    <mergeCell ref="K5:M5"/>
    <mergeCell ref="O5:P5"/>
    <mergeCell ref="B6:E6"/>
    <mergeCell ref="F6:G6"/>
    <mergeCell ref="H6:J6"/>
    <mergeCell ref="K6:M6"/>
    <mergeCell ref="O6:P6"/>
    <mergeCell ref="B8:E8"/>
    <mergeCell ref="F8:G8"/>
    <mergeCell ref="H8:J8"/>
    <mergeCell ref="K8:M8"/>
    <mergeCell ref="O8:P8"/>
    <mergeCell ref="B7:E7"/>
    <mergeCell ref="F7:G7"/>
    <mergeCell ref="H7:J7"/>
    <mergeCell ref="K7:M7"/>
    <mergeCell ref="O7:P7"/>
    <mergeCell ref="B10:E10"/>
    <mergeCell ref="F10:G10"/>
    <mergeCell ref="H10:J10"/>
    <mergeCell ref="K10:M10"/>
    <mergeCell ref="O10:P10"/>
    <mergeCell ref="B9:E9"/>
    <mergeCell ref="F9:G9"/>
    <mergeCell ref="H9:J9"/>
    <mergeCell ref="K9:M9"/>
    <mergeCell ref="O9:P9"/>
    <mergeCell ref="B11:E11"/>
    <mergeCell ref="F11:G11"/>
    <mergeCell ref="H11:J11"/>
    <mergeCell ref="K11:M11"/>
    <mergeCell ref="O11:P1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CC14E-EC98-4B8D-BBBA-294907E75312}">
  <dimension ref="A1:AA19"/>
  <sheetViews>
    <sheetView workbookViewId="0">
      <selection activeCell="A8" sqref="A8"/>
    </sheetView>
  </sheetViews>
  <sheetFormatPr defaultColWidth="14.42578125" defaultRowHeight="15" customHeight="1" x14ac:dyDescent="0.2"/>
  <cols>
    <col min="1" max="1" width="7.85546875" customWidth="1"/>
    <col min="2" max="4" width="9.140625" customWidth="1"/>
    <col min="5" max="5" width="19.42578125" customWidth="1"/>
    <col min="6" max="6" width="9.28515625" customWidth="1"/>
    <col min="7" max="13" width="9.140625" customWidth="1"/>
    <col min="14" max="14" width="13.28515625" customWidth="1"/>
    <col min="15" max="15" width="9.140625" customWidth="1"/>
    <col min="16" max="16" width="18.28515625" customWidth="1"/>
    <col min="17" max="27" width="9.140625" customWidth="1"/>
  </cols>
  <sheetData>
    <row r="1" spans="1:27" ht="15.75" thickBot="1" x14ac:dyDescent="0.25">
      <c r="A1" s="2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54" customHeight="1" thickBot="1" x14ac:dyDescent="0.3">
      <c r="A2" s="5" t="s">
        <v>2</v>
      </c>
      <c r="B2" s="146" t="s">
        <v>3</v>
      </c>
      <c r="C2" s="147"/>
      <c r="D2" s="147"/>
      <c r="E2" s="147"/>
      <c r="F2" s="148" t="s">
        <v>0</v>
      </c>
      <c r="G2" s="147"/>
      <c r="H2" s="149" t="s">
        <v>1</v>
      </c>
      <c r="I2" s="150"/>
      <c r="J2" s="150"/>
      <c r="K2" s="148" t="s">
        <v>4</v>
      </c>
      <c r="L2" s="147"/>
      <c r="M2" s="151"/>
      <c r="N2" s="6" t="s">
        <v>5</v>
      </c>
      <c r="O2" s="152" t="s">
        <v>6</v>
      </c>
      <c r="P2" s="151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41.25" customHeight="1" thickBot="1" x14ac:dyDescent="0.25">
      <c r="A3" s="27"/>
      <c r="B3" s="63"/>
      <c r="C3" s="64"/>
      <c r="D3" s="64"/>
      <c r="E3" s="65"/>
      <c r="F3" s="66"/>
      <c r="G3" s="65"/>
      <c r="H3" s="67"/>
      <c r="I3" s="64"/>
      <c r="J3" s="65"/>
      <c r="K3" s="67"/>
      <c r="L3" s="64"/>
      <c r="M3" s="65"/>
      <c r="N3" s="8"/>
      <c r="O3" s="153"/>
      <c r="P3" s="78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7.5" customHeight="1" thickBot="1" x14ac:dyDescent="0.25">
      <c r="A4" s="10"/>
      <c r="B4" s="136"/>
      <c r="C4" s="137"/>
      <c r="D4" s="137"/>
      <c r="E4" s="137"/>
      <c r="F4" s="138"/>
      <c r="G4" s="137"/>
      <c r="H4" s="139"/>
      <c r="I4" s="140"/>
      <c r="J4" s="140"/>
      <c r="K4" s="141"/>
      <c r="L4" s="137"/>
      <c r="M4" s="137"/>
      <c r="N4" s="3"/>
      <c r="O4" s="2"/>
      <c r="P4" s="2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6.5" customHeight="1" thickBot="1" x14ac:dyDescent="0.25">
      <c r="A5" s="60" t="s">
        <v>2</v>
      </c>
      <c r="B5" s="142" t="s">
        <v>8</v>
      </c>
      <c r="C5" s="143"/>
      <c r="D5" s="143"/>
      <c r="E5" s="144"/>
      <c r="F5" s="145" t="s">
        <v>0</v>
      </c>
      <c r="G5" s="144"/>
      <c r="H5" s="145" t="s">
        <v>9</v>
      </c>
      <c r="I5" s="143"/>
      <c r="J5" s="144"/>
      <c r="K5" s="145" t="s">
        <v>4</v>
      </c>
      <c r="L5" s="143"/>
      <c r="M5" s="144"/>
      <c r="N5" s="6" t="s">
        <v>5</v>
      </c>
      <c r="O5" s="135" t="s">
        <v>6</v>
      </c>
      <c r="P5" s="78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5.75" customHeight="1" x14ac:dyDescent="0.2">
      <c r="A6" s="26" t="s">
        <v>77</v>
      </c>
      <c r="B6" s="129" t="s">
        <v>10</v>
      </c>
      <c r="C6" s="92"/>
      <c r="D6" s="92"/>
      <c r="E6" s="78"/>
      <c r="F6" s="130" t="s">
        <v>0</v>
      </c>
      <c r="G6" s="78"/>
      <c r="H6" s="131" t="s">
        <v>11</v>
      </c>
      <c r="I6" s="92"/>
      <c r="J6" s="78"/>
      <c r="K6" s="131"/>
      <c r="L6" s="92"/>
      <c r="M6" s="78"/>
      <c r="N6" s="13"/>
      <c r="O6" s="131"/>
      <c r="P6" s="78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5.75" customHeight="1" x14ac:dyDescent="0.2">
      <c r="A7" s="26" t="s">
        <v>78</v>
      </c>
      <c r="B7" s="129" t="s">
        <v>12</v>
      </c>
      <c r="C7" s="92"/>
      <c r="D7" s="92"/>
      <c r="E7" s="78"/>
      <c r="F7" s="130" t="s">
        <v>0</v>
      </c>
      <c r="G7" s="78"/>
      <c r="H7" s="131" t="s">
        <v>11</v>
      </c>
      <c r="I7" s="92"/>
      <c r="J7" s="78"/>
      <c r="K7" s="131"/>
      <c r="L7" s="92"/>
      <c r="M7" s="78"/>
      <c r="N7" s="13"/>
      <c r="O7" s="131"/>
      <c r="P7" s="78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5.75" customHeight="1" x14ac:dyDescent="0.2">
      <c r="A8" s="26" t="s">
        <v>79</v>
      </c>
      <c r="B8" s="129" t="s">
        <v>13</v>
      </c>
      <c r="C8" s="92"/>
      <c r="D8" s="92"/>
      <c r="E8" s="78"/>
      <c r="F8" s="130" t="s">
        <v>0</v>
      </c>
      <c r="G8" s="78"/>
      <c r="H8" s="131" t="s">
        <v>11</v>
      </c>
      <c r="I8" s="92"/>
      <c r="J8" s="78"/>
      <c r="K8" s="132"/>
      <c r="L8" s="92"/>
      <c r="M8" s="78"/>
      <c r="N8" s="13"/>
      <c r="O8" s="133"/>
      <c r="P8" s="78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5.75" customHeight="1" x14ac:dyDescent="0.2">
      <c r="A9" s="12"/>
      <c r="B9" s="129"/>
      <c r="C9" s="92"/>
      <c r="D9" s="92"/>
      <c r="E9" s="78"/>
      <c r="F9" s="130"/>
      <c r="G9" s="78"/>
      <c r="H9" s="131"/>
      <c r="I9" s="92"/>
      <c r="J9" s="78"/>
      <c r="K9" s="132"/>
      <c r="L9" s="92"/>
      <c r="M9" s="78"/>
      <c r="N9" s="13"/>
      <c r="O9" s="133"/>
      <c r="P9" s="78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15.75" customHeight="1" x14ac:dyDescent="0.2">
      <c r="A10" s="12"/>
      <c r="B10" s="129"/>
      <c r="C10" s="92"/>
      <c r="D10" s="92"/>
      <c r="E10" s="78"/>
      <c r="F10" s="130"/>
      <c r="G10" s="78"/>
      <c r="H10" s="131"/>
      <c r="I10" s="92"/>
      <c r="J10" s="78"/>
      <c r="K10" s="134"/>
      <c r="L10" s="92"/>
      <c r="M10" s="78"/>
      <c r="N10" s="13"/>
      <c r="O10" s="131"/>
      <c r="P10" s="78"/>
      <c r="Q10" s="4" t="s">
        <v>14</v>
      </c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5.75" customHeight="1" x14ac:dyDescent="0.2">
      <c r="A11" s="12"/>
      <c r="B11" s="129"/>
      <c r="C11" s="92"/>
      <c r="D11" s="92"/>
      <c r="E11" s="78"/>
      <c r="F11" s="130"/>
      <c r="G11" s="78"/>
      <c r="H11" s="131"/>
      <c r="I11" s="92"/>
      <c r="J11" s="78"/>
      <c r="K11" s="132"/>
      <c r="L11" s="92"/>
      <c r="M11" s="78"/>
      <c r="N11" s="13"/>
      <c r="O11" s="133"/>
      <c r="P11" s="78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</sheetData>
  <mergeCells count="49">
    <mergeCell ref="B3:E3"/>
    <mergeCell ref="F3:G3"/>
    <mergeCell ref="H3:J3"/>
    <mergeCell ref="K3:M3"/>
    <mergeCell ref="O3:P3"/>
    <mergeCell ref="B2:E2"/>
    <mergeCell ref="F2:G2"/>
    <mergeCell ref="H2:J2"/>
    <mergeCell ref="K2:M2"/>
    <mergeCell ref="O2:P2"/>
    <mergeCell ref="B4:E4"/>
    <mergeCell ref="F4:G4"/>
    <mergeCell ref="H4:J4"/>
    <mergeCell ref="K4:M4"/>
    <mergeCell ref="B5:E5"/>
    <mergeCell ref="F5:G5"/>
    <mergeCell ref="H5:J5"/>
    <mergeCell ref="K5:M5"/>
    <mergeCell ref="O5:P5"/>
    <mergeCell ref="B6:E6"/>
    <mergeCell ref="F6:G6"/>
    <mergeCell ref="H6:J6"/>
    <mergeCell ref="K6:M6"/>
    <mergeCell ref="O6:P6"/>
    <mergeCell ref="B8:E8"/>
    <mergeCell ref="F8:G8"/>
    <mergeCell ref="H8:J8"/>
    <mergeCell ref="K8:M8"/>
    <mergeCell ref="O8:P8"/>
    <mergeCell ref="B7:E7"/>
    <mergeCell ref="F7:G7"/>
    <mergeCell ref="H7:J7"/>
    <mergeCell ref="K7:M7"/>
    <mergeCell ref="O7:P7"/>
    <mergeCell ref="B10:E10"/>
    <mergeCell ref="F10:G10"/>
    <mergeCell ref="H10:J10"/>
    <mergeCell ref="K10:M10"/>
    <mergeCell ref="O10:P10"/>
    <mergeCell ref="B9:E9"/>
    <mergeCell ref="F9:G9"/>
    <mergeCell ref="H9:J9"/>
    <mergeCell ref="K9:M9"/>
    <mergeCell ref="O9:P9"/>
    <mergeCell ref="B11:E11"/>
    <mergeCell ref="F11:G11"/>
    <mergeCell ref="H11:J11"/>
    <mergeCell ref="K11:M11"/>
    <mergeCell ref="O11:P1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09AEF-4621-4203-8397-0E47A8BC37A1}">
  <dimension ref="A1:AA19"/>
  <sheetViews>
    <sheetView workbookViewId="0">
      <selection activeCell="A8" sqref="A8"/>
    </sheetView>
  </sheetViews>
  <sheetFormatPr defaultColWidth="14.42578125" defaultRowHeight="15" customHeight="1" x14ac:dyDescent="0.2"/>
  <cols>
    <col min="1" max="1" width="7.85546875" customWidth="1"/>
    <col min="2" max="4" width="9.140625" customWidth="1"/>
    <col min="5" max="5" width="19.42578125" customWidth="1"/>
    <col min="6" max="6" width="9.28515625" customWidth="1"/>
    <col min="7" max="13" width="9.140625" customWidth="1"/>
    <col min="14" max="14" width="13.28515625" customWidth="1"/>
    <col min="15" max="15" width="9.140625" customWidth="1"/>
    <col min="16" max="16" width="18.28515625" customWidth="1"/>
    <col min="17" max="27" width="9.140625" customWidth="1"/>
  </cols>
  <sheetData>
    <row r="1" spans="1:27" ht="15.75" thickBot="1" x14ac:dyDescent="0.25">
      <c r="A1" s="2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54" customHeight="1" thickBot="1" x14ac:dyDescent="0.3">
      <c r="A2" s="5" t="s">
        <v>2</v>
      </c>
      <c r="B2" s="146" t="s">
        <v>3</v>
      </c>
      <c r="C2" s="147"/>
      <c r="D2" s="147"/>
      <c r="E2" s="147"/>
      <c r="F2" s="148" t="s">
        <v>0</v>
      </c>
      <c r="G2" s="147"/>
      <c r="H2" s="149" t="s">
        <v>1</v>
      </c>
      <c r="I2" s="150"/>
      <c r="J2" s="150"/>
      <c r="K2" s="148" t="s">
        <v>4</v>
      </c>
      <c r="L2" s="147"/>
      <c r="M2" s="151"/>
      <c r="N2" s="6" t="s">
        <v>5</v>
      </c>
      <c r="O2" s="152" t="s">
        <v>6</v>
      </c>
      <c r="P2" s="151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41.25" customHeight="1" thickBot="1" x14ac:dyDescent="0.25">
      <c r="A3" s="27"/>
      <c r="B3" s="63"/>
      <c r="C3" s="64"/>
      <c r="D3" s="64"/>
      <c r="E3" s="65"/>
      <c r="F3" s="66"/>
      <c r="G3" s="65"/>
      <c r="H3" s="67"/>
      <c r="I3" s="64"/>
      <c r="J3" s="65"/>
      <c r="K3" s="67"/>
      <c r="L3" s="64"/>
      <c r="M3" s="65"/>
      <c r="N3" s="8"/>
      <c r="O3" s="153"/>
      <c r="P3" s="78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7.5" customHeight="1" thickBot="1" x14ac:dyDescent="0.25">
      <c r="A4" s="10"/>
      <c r="B4" s="136"/>
      <c r="C4" s="137"/>
      <c r="D4" s="137"/>
      <c r="E4" s="137"/>
      <c r="F4" s="138"/>
      <c r="G4" s="137"/>
      <c r="H4" s="139"/>
      <c r="I4" s="140"/>
      <c r="J4" s="140"/>
      <c r="K4" s="141"/>
      <c r="L4" s="137"/>
      <c r="M4" s="137"/>
      <c r="N4" s="3"/>
      <c r="O4" s="2"/>
      <c r="P4" s="2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6.5" customHeight="1" thickBot="1" x14ac:dyDescent="0.25">
      <c r="A5" s="60" t="s">
        <v>2</v>
      </c>
      <c r="B5" s="142" t="s">
        <v>8</v>
      </c>
      <c r="C5" s="143"/>
      <c r="D5" s="143"/>
      <c r="E5" s="144"/>
      <c r="F5" s="145" t="s">
        <v>0</v>
      </c>
      <c r="G5" s="144"/>
      <c r="H5" s="145" t="s">
        <v>9</v>
      </c>
      <c r="I5" s="143"/>
      <c r="J5" s="144"/>
      <c r="K5" s="145" t="s">
        <v>4</v>
      </c>
      <c r="L5" s="143"/>
      <c r="M5" s="144"/>
      <c r="N5" s="6" t="s">
        <v>5</v>
      </c>
      <c r="O5" s="135" t="s">
        <v>6</v>
      </c>
      <c r="P5" s="78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5.75" customHeight="1" x14ac:dyDescent="0.2">
      <c r="A6" s="26" t="s">
        <v>80</v>
      </c>
      <c r="B6" s="129" t="s">
        <v>10</v>
      </c>
      <c r="C6" s="92"/>
      <c r="D6" s="92"/>
      <c r="E6" s="78"/>
      <c r="F6" s="130" t="s">
        <v>0</v>
      </c>
      <c r="G6" s="78"/>
      <c r="H6" s="131" t="s">
        <v>11</v>
      </c>
      <c r="I6" s="92"/>
      <c r="J6" s="78"/>
      <c r="K6" s="131"/>
      <c r="L6" s="92"/>
      <c r="M6" s="78"/>
      <c r="N6" s="13"/>
      <c r="O6" s="131"/>
      <c r="P6" s="78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5.75" customHeight="1" x14ac:dyDescent="0.2">
      <c r="A7" s="26" t="s">
        <v>81</v>
      </c>
      <c r="B7" s="129" t="s">
        <v>12</v>
      </c>
      <c r="C7" s="92"/>
      <c r="D7" s="92"/>
      <c r="E7" s="78"/>
      <c r="F7" s="130" t="s">
        <v>0</v>
      </c>
      <c r="G7" s="78"/>
      <c r="H7" s="131" t="s">
        <v>11</v>
      </c>
      <c r="I7" s="92"/>
      <c r="J7" s="78"/>
      <c r="K7" s="131"/>
      <c r="L7" s="92"/>
      <c r="M7" s="78"/>
      <c r="N7" s="13"/>
      <c r="O7" s="131"/>
      <c r="P7" s="78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5.75" customHeight="1" x14ac:dyDescent="0.2">
      <c r="A8" s="26" t="s">
        <v>82</v>
      </c>
      <c r="B8" s="129" t="s">
        <v>13</v>
      </c>
      <c r="C8" s="92"/>
      <c r="D8" s="92"/>
      <c r="E8" s="78"/>
      <c r="F8" s="130" t="s">
        <v>0</v>
      </c>
      <c r="G8" s="78"/>
      <c r="H8" s="131" t="s">
        <v>11</v>
      </c>
      <c r="I8" s="92"/>
      <c r="J8" s="78"/>
      <c r="K8" s="132"/>
      <c r="L8" s="92"/>
      <c r="M8" s="78"/>
      <c r="N8" s="13"/>
      <c r="O8" s="133"/>
      <c r="P8" s="78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5.75" customHeight="1" x14ac:dyDescent="0.2">
      <c r="A9" s="12"/>
      <c r="B9" s="129"/>
      <c r="C9" s="92"/>
      <c r="D9" s="92"/>
      <c r="E9" s="78"/>
      <c r="F9" s="130"/>
      <c r="G9" s="78"/>
      <c r="H9" s="131"/>
      <c r="I9" s="92"/>
      <c r="J9" s="78"/>
      <c r="K9" s="132"/>
      <c r="L9" s="92"/>
      <c r="M9" s="78"/>
      <c r="N9" s="13"/>
      <c r="O9" s="133"/>
      <c r="P9" s="78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15.75" customHeight="1" x14ac:dyDescent="0.2">
      <c r="A10" s="12"/>
      <c r="B10" s="129"/>
      <c r="C10" s="92"/>
      <c r="D10" s="92"/>
      <c r="E10" s="78"/>
      <c r="F10" s="130"/>
      <c r="G10" s="78"/>
      <c r="H10" s="131"/>
      <c r="I10" s="92"/>
      <c r="J10" s="78"/>
      <c r="K10" s="134"/>
      <c r="L10" s="92"/>
      <c r="M10" s="78"/>
      <c r="N10" s="13"/>
      <c r="O10" s="131"/>
      <c r="P10" s="78"/>
      <c r="Q10" s="4" t="s">
        <v>14</v>
      </c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5.75" customHeight="1" x14ac:dyDescent="0.2">
      <c r="A11" s="12"/>
      <c r="B11" s="129"/>
      <c r="C11" s="92"/>
      <c r="D11" s="92"/>
      <c r="E11" s="78"/>
      <c r="F11" s="130"/>
      <c r="G11" s="78"/>
      <c r="H11" s="131"/>
      <c r="I11" s="92"/>
      <c r="J11" s="78"/>
      <c r="K11" s="132"/>
      <c r="L11" s="92"/>
      <c r="M11" s="78"/>
      <c r="N11" s="13"/>
      <c r="O11" s="133"/>
      <c r="P11" s="78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</sheetData>
  <mergeCells count="49">
    <mergeCell ref="B3:E3"/>
    <mergeCell ref="F3:G3"/>
    <mergeCell ref="H3:J3"/>
    <mergeCell ref="K3:M3"/>
    <mergeCell ref="O3:P3"/>
    <mergeCell ref="B2:E2"/>
    <mergeCell ref="F2:G2"/>
    <mergeCell ref="H2:J2"/>
    <mergeCell ref="K2:M2"/>
    <mergeCell ref="O2:P2"/>
    <mergeCell ref="B4:E4"/>
    <mergeCell ref="F4:G4"/>
    <mergeCell ref="H4:J4"/>
    <mergeCell ref="K4:M4"/>
    <mergeCell ref="B5:E5"/>
    <mergeCell ref="F5:G5"/>
    <mergeCell ref="H5:J5"/>
    <mergeCell ref="K5:M5"/>
    <mergeCell ref="O5:P5"/>
    <mergeCell ref="B6:E6"/>
    <mergeCell ref="F6:G6"/>
    <mergeCell ref="H6:J6"/>
    <mergeCell ref="K6:M6"/>
    <mergeCell ref="O6:P6"/>
    <mergeCell ref="B8:E8"/>
    <mergeCell ref="F8:G8"/>
    <mergeCell ref="H8:J8"/>
    <mergeCell ref="K8:M8"/>
    <mergeCell ref="O8:P8"/>
    <mergeCell ref="B7:E7"/>
    <mergeCell ref="F7:G7"/>
    <mergeCell ref="H7:J7"/>
    <mergeCell ref="K7:M7"/>
    <mergeCell ref="O7:P7"/>
    <mergeCell ref="B10:E10"/>
    <mergeCell ref="F10:G10"/>
    <mergeCell ref="H10:J10"/>
    <mergeCell ref="K10:M10"/>
    <mergeCell ref="O10:P10"/>
    <mergeCell ref="B9:E9"/>
    <mergeCell ref="F9:G9"/>
    <mergeCell ref="H9:J9"/>
    <mergeCell ref="K9:M9"/>
    <mergeCell ref="O9:P9"/>
    <mergeCell ref="B11:E11"/>
    <mergeCell ref="F11:G11"/>
    <mergeCell ref="H11:J11"/>
    <mergeCell ref="K11:M11"/>
    <mergeCell ref="O11:P1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46C87-F711-4519-BCF3-5F39C64F3E4D}">
  <dimension ref="A1:AA19"/>
  <sheetViews>
    <sheetView workbookViewId="0">
      <selection activeCell="A8" sqref="A8"/>
    </sheetView>
  </sheetViews>
  <sheetFormatPr defaultColWidth="14.42578125" defaultRowHeight="15" customHeight="1" x14ac:dyDescent="0.2"/>
  <cols>
    <col min="1" max="1" width="7.85546875" customWidth="1"/>
    <col min="2" max="4" width="9.140625" customWidth="1"/>
    <col min="5" max="5" width="19.42578125" customWidth="1"/>
    <col min="6" max="6" width="9.28515625" customWidth="1"/>
    <col min="7" max="13" width="9.140625" customWidth="1"/>
    <col min="14" max="14" width="13.28515625" customWidth="1"/>
    <col min="15" max="15" width="9.140625" customWidth="1"/>
    <col min="16" max="16" width="18.28515625" customWidth="1"/>
    <col min="17" max="27" width="9.140625" customWidth="1"/>
  </cols>
  <sheetData>
    <row r="1" spans="1:27" ht="15.75" thickBot="1" x14ac:dyDescent="0.25">
      <c r="A1" s="2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54" customHeight="1" thickBot="1" x14ac:dyDescent="0.3">
      <c r="A2" s="5" t="s">
        <v>2</v>
      </c>
      <c r="B2" s="146" t="s">
        <v>3</v>
      </c>
      <c r="C2" s="147"/>
      <c r="D2" s="147"/>
      <c r="E2" s="147"/>
      <c r="F2" s="148" t="s">
        <v>0</v>
      </c>
      <c r="G2" s="147"/>
      <c r="H2" s="149" t="s">
        <v>1</v>
      </c>
      <c r="I2" s="150"/>
      <c r="J2" s="150"/>
      <c r="K2" s="148" t="s">
        <v>4</v>
      </c>
      <c r="L2" s="147"/>
      <c r="M2" s="151"/>
      <c r="N2" s="6" t="s">
        <v>5</v>
      </c>
      <c r="O2" s="152" t="s">
        <v>6</v>
      </c>
      <c r="P2" s="151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41.25" customHeight="1" thickBot="1" x14ac:dyDescent="0.25">
      <c r="A3" s="27"/>
      <c r="B3" s="63"/>
      <c r="C3" s="64"/>
      <c r="D3" s="64"/>
      <c r="E3" s="65"/>
      <c r="F3" s="66"/>
      <c r="G3" s="65"/>
      <c r="H3" s="67"/>
      <c r="I3" s="64"/>
      <c r="J3" s="65"/>
      <c r="K3" s="67"/>
      <c r="L3" s="64"/>
      <c r="M3" s="65"/>
      <c r="N3" s="8"/>
      <c r="O3" s="153"/>
      <c r="P3" s="78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7.5" customHeight="1" thickBot="1" x14ac:dyDescent="0.25">
      <c r="A4" s="10"/>
      <c r="B4" s="136"/>
      <c r="C4" s="137"/>
      <c r="D4" s="137"/>
      <c r="E4" s="137"/>
      <c r="F4" s="138"/>
      <c r="G4" s="137"/>
      <c r="H4" s="139"/>
      <c r="I4" s="140"/>
      <c r="J4" s="140"/>
      <c r="K4" s="141"/>
      <c r="L4" s="137"/>
      <c r="M4" s="137"/>
      <c r="N4" s="3"/>
      <c r="O4" s="2"/>
      <c r="P4" s="2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6.5" customHeight="1" thickBot="1" x14ac:dyDescent="0.25">
      <c r="A5" s="60" t="s">
        <v>2</v>
      </c>
      <c r="B5" s="142" t="s">
        <v>8</v>
      </c>
      <c r="C5" s="143"/>
      <c r="D5" s="143"/>
      <c r="E5" s="144"/>
      <c r="F5" s="145" t="s">
        <v>0</v>
      </c>
      <c r="G5" s="144"/>
      <c r="H5" s="145" t="s">
        <v>9</v>
      </c>
      <c r="I5" s="143"/>
      <c r="J5" s="144"/>
      <c r="K5" s="145" t="s">
        <v>4</v>
      </c>
      <c r="L5" s="143"/>
      <c r="M5" s="144"/>
      <c r="N5" s="6" t="s">
        <v>5</v>
      </c>
      <c r="O5" s="135" t="s">
        <v>6</v>
      </c>
      <c r="P5" s="78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5.75" customHeight="1" x14ac:dyDescent="0.2">
      <c r="A6" s="26" t="s">
        <v>36</v>
      </c>
      <c r="B6" s="129" t="s">
        <v>10</v>
      </c>
      <c r="C6" s="92"/>
      <c r="D6" s="92"/>
      <c r="E6" s="78"/>
      <c r="F6" s="130" t="s">
        <v>0</v>
      </c>
      <c r="G6" s="78"/>
      <c r="H6" s="131" t="s">
        <v>11</v>
      </c>
      <c r="I6" s="92"/>
      <c r="J6" s="78"/>
      <c r="K6" s="131"/>
      <c r="L6" s="92"/>
      <c r="M6" s="78"/>
      <c r="N6" s="13"/>
      <c r="O6" s="131"/>
      <c r="P6" s="78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5.75" customHeight="1" x14ac:dyDescent="0.2">
      <c r="A7" s="26" t="s">
        <v>37</v>
      </c>
      <c r="B7" s="129" t="s">
        <v>12</v>
      </c>
      <c r="C7" s="92"/>
      <c r="D7" s="92"/>
      <c r="E7" s="78"/>
      <c r="F7" s="130" t="s">
        <v>0</v>
      </c>
      <c r="G7" s="78"/>
      <c r="H7" s="131" t="s">
        <v>11</v>
      </c>
      <c r="I7" s="92"/>
      <c r="J7" s="78"/>
      <c r="K7" s="131"/>
      <c r="L7" s="92"/>
      <c r="M7" s="78"/>
      <c r="N7" s="13"/>
      <c r="O7" s="131"/>
      <c r="P7" s="78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5.75" customHeight="1" x14ac:dyDescent="0.2">
      <c r="A8" s="26" t="s">
        <v>38</v>
      </c>
      <c r="B8" s="129" t="s">
        <v>13</v>
      </c>
      <c r="C8" s="92"/>
      <c r="D8" s="92"/>
      <c r="E8" s="78"/>
      <c r="F8" s="130" t="s">
        <v>0</v>
      </c>
      <c r="G8" s="78"/>
      <c r="H8" s="131" t="s">
        <v>11</v>
      </c>
      <c r="I8" s="92"/>
      <c r="J8" s="78"/>
      <c r="K8" s="132"/>
      <c r="L8" s="92"/>
      <c r="M8" s="78"/>
      <c r="N8" s="13"/>
      <c r="O8" s="133"/>
      <c r="P8" s="78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5.75" customHeight="1" x14ac:dyDescent="0.2">
      <c r="A9" s="12"/>
      <c r="B9" s="129"/>
      <c r="C9" s="92"/>
      <c r="D9" s="92"/>
      <c r="E9" s="78"/>
      <c r="F9" s="130"/>
      <c r="G9" s="78"/>
      <c r="H9" s="131"/>
      <c r="I9" s="92"/>
      <c r="J9" s="78"/>
      <c r="K9" s="132"/>
      <c r="L9" s="92"/>
      <c r="M9" s="78"/>
      <c r="N9" s="13"/>
      <c r="O9" s="133"/>
      <c r="P9" s="78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15.75" customHeight="1" x14ac:dyDescent="0.2">
      <c r="A10" s="12"/>
      <c r="B10" s="129"/>
      <c r="C10" s="92"/>
      <c r="D10" s="92"/>
      <c r="E10" s="78"/>
      <c r="F10" s="130"/>
      <c r="G10" s="78"/>
      <c r="H10" s="131"/>
      <c r="I10" s="92"/>
      <c r="J10" s="78"/>
      <c r="K10" s="134"/>
      <c r="L10" s="92"/>
      <c r="M10" s="78"/>
      <c r="N10" s="13"/>
      <c r="O10" s="131"/>
      <c r="P10" s="78"/>
      <c r="Q10" s="4" t="s">
        <v>14</v>
      </c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5.75" customHeight="1" x14ac:dyDescent="0.2">
      <c r="A11" s="12"/>
      <c r="B11" s="129"/>
      <c r="C11" s="92"/>
      <c r="D11" s="92"/>
      <c r="E11" s="78"/>
      <c r="F11" s="130"/>
      <c r="G11" s="78"/>
      <c r="H11" s="131"/>
      <c r="I11" s="92"/>
      <c r="J11" s="78"/>
      <c r="K11" s="132"/>
      <c r="L11" s="92"/>
      <c r="M11" s="78"/>
      <c r="N11" s="13"/>
      <c r="O11" s="133"/>
      <c r="P11" s="78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</sheetData>
  <mergeCells count="49">
    <mergeCell ref="B3:E3"/>
    <mergeCell ref="F3:G3"/>
    <mergeCell ref="H3:J3"/>
    <mergeCell ref="K3:M3"/>
    <mergeCell ref="O3:P3"/>
    <mergeCell ref="B2:E2"/>
    <mergeCell ref="F2:G2"/>
    <mergeCell ref="H2:J2"/>
    <mergeCell ref="K2:M2"/>
    <mergeCell ref="O2:P2"/>
    <mergeCell ref="B4:E4"/>
    <mergeCell ref="F4:G4"/>
    <mergeCell ref="H4:J4"/>
    <mergeCell ref="K4:M4"/>
    <mergeCell ref="B5:E5"/>
    <mergeCell ref="F5:G5"/>
    <mergeCell ref="H5:J5"/>
    <mergeCell ref="K5:M5"/>
    <mergeCell ref="O5:P5"/>
    <mergeCell ref="B6:E6"/>
    <mergeCell ref="F6:G6"/>
    <mergeCell ref="H6:J6"/>
    <mergeCell ref="K6:M6"/>
    <mergeCell ref="O6:P6"/>
    <mergeCell ref="B8:E8"/>
    <mergeCell ref="F8:G8"/>
    <mergeCell ref="H8:J8"/>
    <mergeCell ref="K8:M8"/>
    <mergeCell ref="O8:P8"/>
    <mergeCell ref="B7:E7"/>
    <mergeCell ref="F7:G7"/>
    <mergeCell ref="H7:J7"/>
    <mergeCell ref="K7:M7"/>
    <mergeCell ref="O7:P7"/>
    <mergeCell ref="B10:E10"/>
    <mergeCell ref="F10:G10"/>
    <mergeCell ref="H10:J10"/>
    <mergeCell ref="K10:M10"/>
    <mergeCell ref="O10:P10"/>
    <mergeCell ref="B9:E9"/>
    <mergeCell ref="F9:G9"/>
    <mergeCell ref="H9:J9"/>
    <mergeCell ref="K9:M9"/>
    <mergeCell ref="O9:P9"/>
    <mergeCell ref="B11:E11"/>
    <mergeCell ref="F11:G11"/>
    <mergeCell ref="H11:J11"/>
    <mergeCell ref="K11:M11"/>
    <mergeCell ref="O11:P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</vt:i4>
      </vt:variant>
    </vt:vector>
  </HeadingPairs>
  <TitlesOfParts>
    <vt:vector size="23" baseType="lpstr">
      <vt:lpstr>Strategic Summary</vt:lpstr>
      <vt:lpstr>DV-IDENTITY-0</vt:lpstr>
      <vt:lpstr>TAP 1.1</vt:lpstr>
      <vt:lpstr>TAP 1.2</vt:lpstr>
      <vt:lpstr>TAP 1.3</vt:lpstr>
      <vt:lpstr>TAP 2.1</vt:lpstr>
      <vt:lpstr>TAP 2.2</vt:lpstr>
      <vt:lpstr>TAP 2.3</vt:lpstr>
      <vt:lpstr>TAP 3.1</vt:lpstr>
      <vt:lpstr>TAP 3.2</vt:lpstr>
      <vt:lpstr>TAP 3.3</vt:lpstr>
      <vt:lpstr>TAP 4.1</vt:lpstr>
      <vt:lpstr>TAP 4.2</vt:lpstr>
      <vt:lpstr>TAP 4.3</vt:lpstr>
      <vt:lpstr>TAP 5.1</vt:lpstr>
      <vt:lpstr>TAP 5.2</vt:lpstr>
      <vt:lpstr>TAP 5.3</vt:lpstr>
      <vt:lpstr>TAP 6.1</vt:lpstr>
      <vt:lpstr>TAP 6.2</vt:lpstr>
      <vt:lpstr>TAP 6.3</vt:lpstr>
      <vt:lpstr>Tap Template</vt:lpstr>
      <vt:lpstr>Sheet30</vt:lpstr>
      <vt:lpstr>'Strategic Summary'!Print_Area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Deroin</dc:creator>
  <cp:lastModifiedBy>Jennifer Deroin</cp:lastModifiedBy>
  <cp:lastPrinted>2018-10-08T21:52:55Z</cp:lastPrinted>
  <dcterms:created xsi:type="dcterms:W3CDTF">2018-03-17T15:38:51Z</dcterms:created>
  <dcterms:modified xsi:type="dcterms:W3CDTF">2019-03-07T03:32:57Z</dcterms:modified>
</cp:coreProperties>
</file>